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charts/chart78.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worksheets/sheet3.xml" ContentType="application/vnd.openxmlformats-officedocument.spreadsheetml.worksheet+xml"/>
  <Override PartName="/xl/charts/chart27.xml" ContentType="application/vnd.openxmlformats-officedocument.drawingml.chart+xml"/>
  <Override PartName="/xl/drawings/drawing13.xml" ContentType="application/vnd.openxmlformats-officedocument.drawing+xml"/>
  <Override PartName="/xl/charts/chart38.xml" ContentType="application/vnd.openxmlformats-officedocument.drawingml.chart+xml"/>
  <Override PartName="/xl/drawings/drawing24.xml" ContentType="application/vnd.openxmlformats-officedocument.drawing+xml"/>
  <Override PartName="/xl/charts/chart56.xml" ContentType="application/vnd.openxmlformats-officedocument.drawingml.chart+xml"/>
  <Override PartName="/xl/charts/chart74.xml" ContentType="application/vnd.openxmlformats-officedocument.drawingml.chart+xml"/>
  <Override PartName="/xl/charts/chart16.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45.xml" ContentType="application/vnd.openxmlformats-officedocument.drawingml.chart+xml"/>
  <Override PartName="/xl/drawings/drawing31.xml" ContentType="application/vnd.openxmlformats-officedocument.drawing+xml"/>
  <Override PartName="/xl/charts/chart63.xml" ContentType="application/vnd.openxmlformats-officedocument.drawingml.chart+xml"/>
  <Override PartName="/xl/charts/chart81.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charts/chart79.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drawings/drawing25.xml" ContentType="application/vnd.openxmlformats-officedocument.drawing+xml"/>
  <Override PartName="/xl/charts/chart57.xml" ContentType="application/vnd.openxmlformats-officedocument.drawingml.chart+xml"/>
  <Override PartName="/xl/charts/chart68.xml" ContentType="application/vnd.openxmlformats-officedocument.drawingml.chart+xml"/>
  <Override PartName="/docProps/app.xml" ContentType="application/vnd.openxmlformats-officedocument.extended-properties+xml"/>
  <Override PartName="/xl/charts/chart28.xml" ContentType="application/vnd.openxmlformats-officedocument.drawingml.chart+xml"/>
  <Override PartName="/xl/drawings/drawing14.xml" ContentType="application/vnd.openxmlformats-officedocument.drawing+xml"/>
  <Override PartName="/xl/charts/chart46.xml" ContentType="application/vnd.openxmlformats-officedocument.drawingml.chart+xml"/>
  <Override PartName="/xl/drawings/drawing32.xml" ContentType="application/vnd.openxmlformats-officedocument.drawing+xml"/>
  <Override PartName="/xl/charts/chart75.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drawings/drawing30.xml" ContentType="application/vnd.openxmlformats-officedocument.drawing+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0.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drawings/drawing15.xml" ContentType="application/vnd.openxmlformats-officedocument.drawing+xml"/>
  <Override PartName="/xl/drawings/drawing26.xml" ContentType="application/vnd.openxmlformats-officedocument.drawing+xml"/>
  <Override PartName="/xl/charts/chart58.xml" ContentType="application/vnd.openxmlformats-officedocument.drawingml.chart+xml"/>
  <Override PartName="/xl/charts/chart76.xml" ContentType="application/vnd.openxmlformats-officedocument.drawingml.chart+xml"/>
  <Override PartName="/xl/charts/chart18.xml" ContentType="application/vnd.openxmlformats-officedocument.drawingml.chart+xml"/>
  <Override PartName="/xl/charts/chart36.xml" ContentType="application/vnd.openxmlformats-officedocument.drawingml.chart+xml"/>
  <Override PartName="/xl/drawings/drawing22.xml" ContentType="application/vnd.openxmlformats-officedocument.drawing+xml"/>
  <Override PartName="/xl/charts/chart47.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drawings/drawing11.xml" ContentType="application/vnd.openxmlformats-officedocument.drawing+xml"/>
  <Override PartName="/xl/charts/chart54.xml" ContentType="application/vnd.openxmlformats-officedocument.drawingml.chart+xml"/>
  <Override PartName="/xl/charts/chart72.xml" ContentType="application/vnd.openxmlformats-officedocument.drawingml.chart+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worksheets/sheet27.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drawings/drawing38.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xml"/>
  <Override PartName="/xl/charts/chart59.xml" ContentType="application/vnd.openxmlformats-officedocument.drawingml.chart+xml"/>
  <Override PartName="/xl/drawings/drawing16.xml" ContentType="application/vnd.openxmlformats-officedocument.drawing+xml"/>
  <Override PartName="/xl/charts/chart48.xml" ContentType="application/vnd.openxmlformats-officedocument.drawingml.chart+xml"/>
  <Override PartName="/xl/drawings/drawing34.xml" ContentType="application/vnd.openxmlformats-officedocument.drawing+xml"/>
  <Override PartName="/xl/charts/chart77.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drawings/drawing23.xml" ContentType="application/vnd.openxmlformats-officedocument.drawing+xml"/>
  <Override PartName="/xl/charts/chart55.xml" ContentType="application/vnd.openxmlformats-officedocument.drawingml.chart+xml"/>
  <Override PartName="/xl/charts/chart6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8400" windowHeight="2400"/>
  </bookViews>
  <sheets>
    <sheet name="Core Survey 2" sheetId="1" r:id="rId1"/>
    <sheet name="Q1-8" sheetId="2" r:id="rId2"/>
    <sheet name="Q9" sheetId="3" r:id="rId3"/>
    <sheet name="Q10" sheetId="4" r:id="rId4"/>
    <sheet name="Q11&amp;Q12" sheetId="5" r:id="rId5"/>
    <sheet name="Q13" sheetId="6" r:id="rId6"/>
    <sheet name="Q14" sheetId="7" r:id="rId7"/>
    <sheet name="Q15" sheetId="8" r:id="rId8"/>
    <sheet name="Q15a" sheetId="9" r:id="rId9"/>
    <sheet name="Q15b" sheetId="11" r:id="rId10"/>
    <sheet name="Q15c" sheetId="12" r:id="rId11"/>
    <sheet name="Q15d" sheetId="13" r:id="rId12"/>
    <sheet name="Q15e" sheetId="14" r:id="rId13"/>
    <sheet name="Q15f" sheetId="15" r:id="rId14"/>
    <sheet name="Q15g" sheetId="16" r:id="rId15"/>
    <sheet name="Q15h" sheetId="17" r:id="rId16"/>
    <sheet name="Q15totaal" sheetId="35" r:id="rId17"/>
    <sheet name="Q16" sheetId="10" r:id="rId18"/>
    <sheet name="Q17" sheetId="18" r:id="rId19"/>
    <sheet name="Q18" sheetId="19" r:id="rId20"/>
    <sheet name="Q18A" sheetId="20" r:id="rId21"/>
    <sheet name="18B" sheetId="36" r:id="rId22"/>
    <sheet name="18C" sheetId="37" r:id="rId23"/>
    <sheet name="18D" sheetId="38" r:id="rId24"/>
    <sheet name="18E" sheetId="39" r:id="rId25"/>
    <sheet name="18F" sheetId="40" r:id="rId26"/>
    <sheet name="18G" sheetId="41" r:id="rId27"/>
    <sheet name="18H" sheetId="42" r:id="rId28"/>
    <sheet name="Q19" sheetId="21" r:id="rId29"/>
    <sheet name="Q20" sheetId="22" r:id="rId30"/>
    <sheet name="Q21" sheetId="23" r:id="rId31"/>
    <sheet name="Q22" sheetId="24" r:id="rId32"/>
    <sheet name="Q23" sheetId="25" r:id="rId33"/>
    <sheet name="Q24" sheetId="26" r:id="rId34"/>
    <sheet name="Q25" sheetId="27" r:id="rId35"/>
    <sheet name="Q26" sheetId="28" r:id="rId36"/>
    <sheet name="Q27&amp;Q28" sheetId="29" r:id="rId37"/>
    <sheet name="Q27a" sheetId="30" r:id="rId38"/>
    <sheet name="Q29&amp;Q30" sheetId="31" r:id="rId39"/>
    <sheet name="Q31" sheetId="32" r:id="rId40"/>
    <sheet name="Q32" sheetId="33" r:id="rId41"/>
    <sheet name="Q33" sheetId="34" r:id="rId42"/>
  </sheets>
  <calcPr calcId="125725" concurrentCalc="0"/>
</workbook>
</file>

<file path=xl/calcChain.xml><?xml version="1.0" encoding="utf-8"?>
<calcChain xmlns="http://schemas.openxmlformats.org/spreadsheetml/2006/main">
  <c r="K21" i="28"/>
  <c r="K22"/>
  <c r="K23"/>
  <c r="J21"/>
  <c r="J22"/>
  <c r="J23"/>
  <c r="L21"/>
  <c r="L22"/>
  <c r="L23"/>
  <c r="I21"/>
  <c r="I22"/>
  <c r="I23"/>
  <c r="R12" i="25"/>
  <c r="R11"/>
  <c r="R10"/>
  <c r="R7"/>
  <c r="R6"/>
  <c r="R8"/>
  <c r="R9"/>
  <c r="R13"/>
  <c r="R14"/>
  <c r="H8" i="31"/>
  <c r="H7"/>
  <c r="K10" i="28"/>
  <c r="C154" i="3"/>
  <c r="C153"/>
  <c r="K8" i="28"/>
  <c r="K7"/>
  <c r="P22" i="42"/>
  <c r="O22"/>
  <c r="M22"/>
  <c r="L22"/>
  <c r="K22"/>
  <c r="J22"/>
  <c r="I22"/>
  <c r="H22"/>
  <c r="G22"/>
  <c r="E22"/>
  <c r="D22"/>
  <c r="C22"/>
  <c r="N22"/>
  <c r="F22"/>
  <c r="B22"/>
  <c r="P21"/>
  <c r="O21"/>
  <c r="N21"/>
  <c r="M21"/>
  <c r="L21"/>
  <c r="K21"/>
  <c r="J21"/>
  <c r="I21"/>
  <c r="H21"/>
  <c r="G21"/>
  <c r="F21"/>
  <c r="E21"/>
  <c r="D21"/>
  <c r="C21"/>
  <c r="B21"/>
  <c r="V22" i="38"/>
  <c r="N22"/>
  <c r="M22"/>
  <c r="L22"/>
  <c r="K20" i="37"/>
  <c r="AQ35" i="36"/>
  <c r="AP35"/>
  <c r="AO35"/>
  <c r="AN35"/>
  <c r="AM35"/>
  <c r="AJ35"/>
  <c r="AA35"/>
  <c r="AK30" i="20"/>
  <c r="AJ30"/>
  <c r="AI30"/>
  <c r="AK29"/>
  <c r="AJ29"/>
  <c r="AI29"/>
  <c r="B41" i="41"/>
  <c r="B40"/>
  <c r="B39"/>
  <c r="G34"/>
  <c r="G33"/>
  <c r="G32"/>
  <c r="F34"/>
  <c r="F33"/>
  <c r="F32"/>
  <c r="E34"/>
  <c r="E33"/>
  <c r="E32"/>
  <c r="D34"/>
  <c r="D33"/>
  <c r="D32"/>
  <c r="C34"/>
  <c r="V21"/>
  <c r="T21"/>
  <c r="C33"/>
  <c r="C32"/>
  <c r="V20"/>
  <c r="B34"/>
  <c r="B33"/>
  <c r="T20"/>
  <c r="B32"/>
  <c r="G29"/>
  <c r="F29"/>
  <c r="E29"/>
  <c r="D29"/>
  <c r="C29"/>
  <c r="B29"/>
  <c r="G28"/>
  <c r="F28"/>
  <c r="E28"/>
  <c r="D28"/>
  <c r="C28"/>
  <c r="B28"/>
  <c r="G27"/>
  <c r="F27"/>
  <c r="E27"/>
  <c r="D27"/>
  <c r="C27"/>
  <c r="B27"/>
  <c r="AH21"/>
  <c r="AG21"/>
  <c r="AF21"/>
  <c r="AE20"/>
  <c r="AE21"/>
  <c r="AD20"/>
  <c r="AD21"/>
  <c r="AC20"/>
  <c r="AC21"/>
  <c r="Y21"/>
  <c r="X21"/>
  <c r="W21"/>
  <c r="U21"/>
  <c r="R21"/>
  <c r="Q21"/>
  <c r="O21"/>
  <c r="N21"/>
  <c r="M21"/>
  <c r="L21"/>
  <c r="K21"/>
  <c r="I21"/>
  <c r="H21"/>
  <c r="G21"/>
  <c r="F21"/>
  <c r="E21"/>
  <c r="C21"/>
  <c r="AK21"/>
  <c r="AJ21"/>
  <c r="AI21"/>
  <c r="AB21"/>
  <c r="AA21"/>
  <c r="Z21"/>
  <c r="S21"/>
  <c r="P21"/>
  <c r="J21"/>
  <c r="D21"/>
  <c r="B21"/>
  <c r="G35"/>
  <c r="F35"/>
  <c r="E35"/>
  <c r="D35"/>
  <c r="C35"/>
  <c r="B35"/>
  <c r="AK20"/>
  <c r="AJ20"/>
  <c r="AI20"/>
  <c r="AH20"/>
  <c r="AG20"/>
  <c r="AF20"/>
  <c r="AB20"/>
  <c r="AA20"/>
  <c r="Z20"/>
  <c r="Y20"/>
  <c r="X20"/>
  <c r="W20"/>
  <c r="U20"/>
  <c r="S20"/>
  <c r="R20"/>
  <c r="Q20"/>
  <c r="P20"/>
  <c r="O20"/>
  <c r="N20"/>
  <c r="M20"/>
  <c r="L20"/>
  <c r="K20"/>
  <c r="J20"/>
  <c r="I20"/>
  <c r="H20"/>
  <c r="G20"/>
  <c r="F20"/>
  <c r="E20"/>
  <c r="D20"/>
  <c r="C20"/>
  <c r="B20"/>
  <c r="B33" i="40"/>
  <c r="B32"/>
  <c r="B31"/>
  <c r="E27"/>
  <c r="E26"/>
  <c r="E25"/>
  <c r="D27"/>
  <c r="D26"/>
  <c r="D25"/>
  <c r="C27"/>
  <c r="C26"/>
  <c r="C25"/>
  <c r="B27"/>
  <c r="B26"/>
  <c r="B25"/>
  <c r="E22"/>
  <c r="D22"/>
  <c r="C22"/>
  <c r="B22"/>
  <c r="U15"/>
  <c r="T15"/>
  <c r="S15"/>
  <c r="R15"/>
  <c r="Q15"/>
  <c r="P15"/>
  <c r="O15"/>
  <c r="N15"/>
  <c r="M15"/>
  <c r="L15"/>
  <c r="K15"/>
  <c r="J15"/>
  <c r="I15"/>
  <c r="H15"/>
  <c r="E15"/>
  <c r="D15"/>
  <c r="C15"/>
  <c r="G15"/>
  <c r="F15"/>
  <c r="E14"/>
  <c r="E21"/>
  <c r="D14"/>
  <c r="D21"/>
  <c r="C14"/>
  <c r="C21"/>
  <c r="B14"/>
  <c r="B15"/>
  <c r="B21"/>
  <c r="U14"/>
  <c r="T14"/>
  <c r="S14"/>
  <c r="R14"/>
  <c r="Q14"/>
  <c r="P14"/>
  <c r="O14"/>
  <c r="N14"/>
  <c r="M14"/>
  <c r="L14"/>
  <c r="K14"/>
  <c r="J14"/>
  <c r="I14"/>
  <c r="H14"/>
  <c r="G14"/>
  <c r="F14"/>
  <c r="E28"/>
  <c r="D28"/>
  <c r="C28"/>
  <c r="B28"/>
  <c r="B31" i="39"/>
  <c r="B30"/>
  <c r="B29"/>
  <c r="C25"/>
  <c r="C24"/>
  <c r="C23"/>
  <c r="B25"/>
  <c r="G12"/>
  <c r="G13"/>
  <c r="B24"/>
  <c r="B23"/>
  <c r="C20"/>
  <c r="B20"/>
  <c r="E13"/>
  <c r="D13"/>
  <c r="C13"/>
  <c r="K13"/>
  <c r="J13"/>
  <c r="I13"/>
  <c r="H13"/>
  <c r="F13"/>
  <c r="B13"/>
  <c r="C26"/>
  <c r="B26"/>
  <c r="C19"/>
  <c r="B19"/>
  <c r="K12"/>
  <c r="J12"/>
  <c r="I12"/>
  <c r="H12"/>
  <c r="F12"/>
  <c r="E12"/>
  <c r="D12"/>
  <c r="C12"/>
  <c r="B12"/>
  <c r="B40" i="38"/>
  <c r="B39"/>
  <c r="B38"/>
  <c r="Z21"/>
  <c r="Z22"/>
  <c r="F34"/>
  <c r="Y21"/>
  <c r="Y22"/>
  <c r="F33"/>
  <c r="X21"/>
  <c r="X22"/>
  <c r="F32"/>
  <c r="W21"/>
  <c r="W22"/>
  <c r="E34"/>
  <c r="V21"/>
  <c r="E33"/>
  <c r="U21"/>
  <c r="U22"/>
  <c r="E32"/>
  <c r="T21"/>
  <c r="T22"/>
  <c r="D34"/>
  <c r="S21"/>
  <c r="S22"/>
  <c r="D33"/>
  <c r="R21"/>
  <c r="R22"/>
  <c r="D32"/>
  <c r="Q21"/>
  <c r="Q22"/>
  <c r="C34"/>
  <c r="P21"/>
  <c r="P22"/>
  <c r="C33"/>
  <c r="O21"/>
  <c r="O22"/>
  <c r="C32"/>
  <c r="N21"/>
  <c r="B34"/>
  <c r="M21"/>
  <c r="B33"/>
  <c r="L21"/>
  <c r="B32"/>
  <c r="K21"/>
  <c r="K22"/>
  <c r="F29"/>
  <c r="J21"/>
  <c r="J22"/>
  <c r="E29"/>
  <c r="I21"/>
  <c r="I22"/>
  <c r="D29"/>
  <c r="H21"/>
  <c r="H22"/>
  <c r="C29"/>
  <c r="G21"/>
  <c r="G22"/>
  <c r="B29"/>
  <c r="F21"/>
  <c r="F22"/>
  <c r="F28"/>
  <c r="E21"/>
  <c r="E22"/>
  <c r="E28"/>
  <c r="D21"/>
  <c r="D22"/>
  <c r="D28"/>
  <c r="C21"/>
  <c r="C22"/>
  <c r="C28"/>
  <c r="B21"/>
  <c r="B22"/>
  <c r="B28"/>
  <c r="F35"/>
  <c r="E35"/>
  <c r="D35"/>
  <c r="C35"/>
  <c r="B35"/>
  <c r="J19" i="37"/>
  <c r="J20"/>
  <c r="D34"/>
  <c r="M19"/>
  <c r="M20"/>
  <c r="C34"/>
  <c r="B34"/>
  <c r="B33"/>
  <c r="K19"/>
  <c r="C32"/>
  <c r="B32"/>
  <c r="L19"/>
  <c r="L20"/>
  <c r="C33"/>
  <c r="I19"/>
  <c r="I20"/>
  <c r="D33"/>
  <c r="H19"/>
  <c r="H20"/>
  <c r="D32"/>
  <c r="G19"/>
  <c r="G20"/>
  <c r="C29"/>
  <c r="F19"/>
  <c r="F20"/>
  <c r="B29"/>
  <c r="E19"/>
  <c r="E20"/>
  <c r="C28"/>
  <c r="D19"/>
  <c r="D20"/>
  <c r="B28"/>
  <c r="C19"/>
  <c r="C20"/>
  <c r="C41" i="20"/>
  <c r="K41"/>
  <c r="C42"/>
  <c r="K42"/>
  <c r="C43"/>
  <c r="K43"/>
  <c r="K44"/>
  <c r="J44"/>
  <c r="I44"/>
  <c r="H44"/>
  <c r="G44"/>
  <c r="F44"/>
  <c r="E44"/>
  <c r="D44"/>
  <c r="C44"/>
  <c r="B44"/>
  <c r="B19" i="37"/>
  <c r="B20"/>
  <c r="C35"/>
  <c r="D35"/>
  <c r="C27"/>
  <c r="B56" i="36"/>
  <c r="B55"/>
  <c r="B54"/>
  <c r="AW34"/>
  <c r="AW35"/>
  <c r="I49"/>
  <c r="AV34"/>
  <c r="AV35"/>
  <c r="I48"/>
  <c r="AU34"/>
  <c r="AU35"/>
  <c r="I47"/>
  <c r="AT34"/>
  <c r="AT35"/>
  <c r="H49"/>
  <c r="AS34"/>
  <c r="AS35"/>
  <c r="H48"/>
  <c r="AR34"/>
  <c r="AR35"/>
  <c r="H47"/>
  <c r="AQ34"/>
  <c r="G49"/>
  <c r="AP34"/>
  <c r="G48"/>
  <c r="AO34"/>
  <c r="G47"/>
  <c r="AN34"/>
  <c r="F49"/>
  <c r="AM34"/>
  <c r="F48"/>
  <c r="AL34"/>
  <c r="AL35"/>
  <c r="F47"/>
  <c r="AK34"/>
  <c r="AK35"/>
  <c r="E49"/>
  <c r="AJ34"/>
  <c r="E48"/>
  <c r="AI34"/>
  <c r="AI35"/>
  <c r="E47"/>
  <c r="AH34"/>
  <c r="AH35"/>
  <c r="D49"/>
  <c r="AG34"/>
  <c r="AG35"/>
  <c r="D48"/>
  <c r="AF34"/>
  <c r="AF35"/>
  <c r="D47"/>
  <c r="I50"/>
  <c r="H50"/>
  <c r="G50"/>
  <c r="F50"/>
  <c r="E50"/>
  <c r="D50"/>
  <c r="AC34"/>
  <c r="AC35"/>
  <c r="C47"/>
  <c r="AD34"/>
  <c r="AD35"/>
  <c r="C48"/>
  <c r="AE34"/>
  <c r="AE35"/>
  <c r="C49"/>
  <c r="C50"/>
  <c r="Z34"/>
  <c r="Z35"/>
  <c r="B47"/>
  <c r="AA34"/>
  <c r="B48"/>
  <c r="AB34"/>
  <c r="AB35"/>
  <c r="B49"/>
  <c r="B50"/>
  <c r="Y34"/>
  <c r="Y35"/>
  <c r="I44"/>
  <c r="X34"/>
  <c r="X35"/>
  <c r="H44"/>
  <c r="W34"/>
  <c r="W35"/>
  <c r="G44"/>
  <c r="V34"/>
  <c r="V35"/>
  <c r="F44"/>
  <c r="U34"/>
  <c r="U35"/>
  <c r="E44"/>
  <c r="T34"/>
  <c r="T35"/>
  <c r="D44"/>
  <c r="S34"/>
  <c r="S35"/>
  <c r="C44"/>
  <c r="R34"/>
  <c r="R35"/>
  <c r="B44"/>
  <c r="Q34"/>
  <c r="Q35"/>
  <c r="I43"/>
  <c r="P34"/>
  <c r="P35"/>
  <c r="H43"/>
  <c r="O34"/>
  <c r="O35"/>
  <c r="G43"/>
  <c r="N34"/>
  <c r="N35"/>
  <c r="F43"/>
  <c r="M34"/>
  <c r="M35"/>
  <c r="E43"/>
  <c r="L34"/>
  <c r="L35"/>
  <c r="D43"/>
  <c r="K34"/>
  <c r="K35"/>
  <c r="C43"/>
  <c r="J34"/>
  <c r="J35"/>
  <c r="B43"/>
  <c r="I34"/>
  <c r="I35"/>
  <c r="I42"/>
  <c r="H34"/>
  <c r="H35"/>
  <c r="H42"/>
  <c r="G34"/>
  <c r="G35"/>
  <c r="G42"/>
  <c r="F34"/>
  <c r="F35"/>
  <c r="F42"/>
  <c r="E34"/>
  <c r="E35"/>
  <c r="E42"/>
  <c r="D34"/>
  <c r="D35"/>
  <c r="D42"/>
  <c r="C34"/>
  <c r="C35"/>
  <c r="C42"/>
  <c r="B34"/>
  <c r="B35"/>
  <c r="B42"/>
  <c r="B50" i="20"/>
  <c r="B49"/>
  <c r="B48"/>
  <c r="AH29"/>
  <c r="AH30"/>
  <c r="B43"/>
  <c r="AQ29"/>
  <c r="AQ30"/>
  <c r="D43"/>
  <c r="AT29"/>
  <c r="AT30"/>
  <c r="E43"/>
  <c r="AW29"/>
  <c r="AW30"/>
  <c r="F43"/>
  <c r="AZ29"/>
  <c r="AZ30"/>
  <c r="G43"/>
  <c r="BC29"/>
  <c r="BC30"/>
  <c r="H43"/>
  <c r="BF29"/>
  <c r="BF30"/>
  <c r="I43"/>
  <c r="BI29"/>
  <c r="BI30"/>
  <c r="J43"/>
  <c r="AG29"/>
  <c r="AG30"/>
  <c r="B42"/>
  <c r="AP29"/>
  <c r="AP30"/>
  <c r="D42"/>
  <c r="AS29"/>
  <c r="AS30"/>
  <c r="E42"/>
  <c r="AV29"/>
  <c r="AV30"/>
  <c r="F42"/>
  <c r="AY29"/>
  <c r="AY30"/>
  <c r="G42"/>
  <c r="BB29"/>
  <c r="BB30"/>
  <c r="H42"/>
  <c r="BE29"/>
  <c r="BE30"/>
  <c r="I42"/>
  <c r="BH29"/>
  <c r="BH30"/>
  <c r="J42"/>
  <c r="AF29"/>
  <c r="AF30"/>
  <c r="B41"/>
  <c r="AO29"/>
  <c r="AO30"/>
  <c r="D41"/>
  <c r="AR29"/>
  <c r="AR30"/>
  <c r="E41"/>
  <c r="AU29"/>
  <c r="AU30"/>
  <c r="F41"/>
  <c r="AX29"/>
  <c r="AX30"/>
  <c r="G41"/>
  <c r="BA29"/>
  <c r="BA30"/>
  <c r="H41"/>
  <c r="BD29"/>
  <c r="BD30"/>
  <c r="I41"/>
  <c r="BG29"/>
  <c r="BG30"/>
  <c r="J41"/>
  <c r="AE29"/>
  <c r="AE30"/>
  <c r="K38"/>
  <c r="AA29"/>
  <c r="AA30"/>
  <c r="G38"/>
  <c r="Z29"/>
  <c r="Z30"/>
  <c r="F38"/>
  <c r="Y29"/>
  <c r="Y30"/>
  <c r="E38"/>
  <c r="U29"/>
  <c r="U30"/>
  <c r="K37"/>
  <c r="T29"/>
  <c r="T30"/>
  <c r="K36"/>
  <c r="S29"/>
  <c r="S30"/>
  <c r="J37"/>
  <c r="R29"/>
  <c r="R30"/>
  <c r="J36"/>
  <c r="Q29"/>
  <c r="Q30"/>
  <c r="I37"/>
  <c r="P29"/>
  <c r="P30"/>
  <c r="I36"/>
  <c r="O29"/>
  <c r="O30"/>
  <c r="H37"/>
  <c r="N29"/>
  <c r="N30"/>
  <c r="H36"/>
  <c r="M29"/>
  <c r="M30"/>
  <c r="G37"/>
  <c r="L29"/>
  <c r="L30"/>
  <c r="G36"/>
  <c r="K29"/>
  <c r="K30"/>
  <c r="F37"/>
  <c r="J29"/>
  <c r="J30"/>
  <c r="F36"/>
  <c r="I29"/>
  <c r="I30"/>
  <c r="E37"/>
  <c r="H29"/>
  <c r="H30"/>
  <c r="E36"/>
  <c r="G29"/>
  <c r="G30"/>
  <c r="D37"/>
  <c r="F29"/>
  <c r="F30"/>
  <c r="D36"/>
  <c r="E29"/>
  <c r="E30"/>
  <c r="C37"/>
  <c r="D29"/>
  <c r="D30"/>
  <c r="C36"/>
  <c r="C29"/>
  <c r="C30"/>
  <c r="B37"/>
  <c r="B29"/>
  <c r="B30"/>
  <c r="B36"/>
  <c r="AN29"/>
  <c r="AN30"/>
  <c r="AM29"/>
  <c r="AM30"/>
  <c r="AL29"/>
  <c r="AL30"/>
  <c r="AC29"/>
  <c r="AC30"/>
  <c r="X29"/>
  <c r="X30"/>
  <c r="AD29"/>
  <c r="AD30"/>
  <c r="AB29"/>
  <c r="AB30"/>
  <c r="W29"/>
  <c r="W30"/>
  <c r="V29"/>
  <c r="V30"/>
  <c r="H38" i="35"/>
  <c r="H8"/>
  <c r="H31"/>
  <c r="H34"/>
  <c r="H11"/>
  <c r="H32"/>
  <c r="H29"/>
  <c r="H33"/>
  <c r="H6"/>
  <c r="H28"/>
  <c r="H18"/>
  <c r="H23"/>
  <c r="H7"/>
  <c r="H27"/>
  <c r="H40"/>
  <c r="H39"/>
  <c r="H15"/>
  <c r="H12"/>
  <c r="H19"/>
  <c r="H24"/>
  <c r="H30"/>
  <c r="H36"/>
  <c r="H22"/>
  <c r="H37"/>
  <c r="H26"/>
  <c r="H20"/>
  <c r="H14"/>
  <c r="H25"/>
  <c r="H35"/>
  <c r="H9"/>
  <c r="H10"/>
  <c r="H17"/>
  <c r="H21"/>
  <c r="H16"/>
  <c r="H13"/>
  <c r="X75" i="17"/>
  <c r="U75"/>
  <c r="R75"/>
  <c r="O75"/>
  <c r="L75"/>
  <c r="I75"/>
  <c r="F75"/>
  <c r="C75"/>
  <c r="R85" i="16"/>
  <c r="Q85"/>
  <c r="O85"/>
  <c r="N85"/>
  <c r="L85"/>
  <c r="K85"/>
  <c r="I85"/>
  <c r="F85"/>
  <c r="E85"/>
  <c r="C85"/>
  <c r="B85"/>
  <c r="L46" i="15"/>
  <c r="K46"/>
  <c r="I46"/>
  <c r="H46"/>
  <c r="F46"/>
  <c r="E46"/>
  <c r="C46"/>
  <c r="B46"/>
  <c r="F26" i="14"/>
  <c r="E26"/>
  <c r="C26"/>
  <c r="B26"/>
  <c r="O94" i="13"/>
  <c r="N94"/>
  <c r="L94"/>
  <c r="K94"/>
  <c r="I94"/>
  <c r="H94"/>
  <c r="F94"/>
  <c r="E94"/>
  <c r="C94"/>
  <c r="B94"/>
  <c r="F102" i="12"/>
  <c r="E102"/>
  <c r="C102"/>
  <c r="B102"/>
  <c r="X133" i="11"/>
  <c r="W133"/>
  <c r="U133"/>
  <c r="T133"/>
  <c r="R133"/>
  <c r="Q133"/>
  <c r="O133"/>
  <c r="N133"/>
  <c r="L133"/>
  <c r="K133"/>
  <c r="I133"/>
  <c r="H133"/>
  <c r="F133"/>
  <c r="E133"/>
  <c r="C133"/>
  <c r="B133"/>
  <c r="AD122" i="9"/>
  <c r="AC122"/>
  <c r="AA122"/>
  <c r="Z122"/>
  <c r="X122"/>
  <c r="W122"/>
  <c r="U122"/>
  <c r="T122"/>
  <c r="R122"/>
  <c r="Q122"/>
  <c r="O122"/>
  <c r="N122"/>
  <c r="L122"/>
  <c r="K122"/>
  <c r="I122"/>
  <c r="F122"/>
  <c r="E122"/>
  <c r="C122"/>
  <c r="B122"/>
  <c r="K46" i="31"/>
  <c r="K45"/>
  <c r="K44"/>
  <c r="K43"/>
  <c r="K42"/>
  <c r="J48"/>
  <c r="I48"/>
  <c r="H48"/>
  <c r="G48"/>
  <c r="D104" i="28"/>
  <c r="D105"/>
  <c r="C104"/>
  <c r="C105"/>
  <c r="B104"/>
  <c r="B105"/>
  <c r="D108"/>
  <c r="D109"/>
  <c r="C108"/>
  <c r="C109"/>
  <c r="B108"/>
  <c r="B109"/>
  <c r="N61"/>
  <c r="N62"/>
  <c r="N63"/>
  <c r="N64"/>
  <c r="N65"/>
  <c r="N66"/>
  <c r="N67"/>
  <c r="N68"/>
  <c r="M68"/>
  <c r="L68"/>
  <c r="K68"/>
  <c r="J68"/>
  <c r="L34"/>
  <c r="L33"/>
  <c r="K34"/>
  <c r="K33"/>
  <c r="I34"/>
  <c r="I33"/>
  <c r="I17"/>
  <c r="I16"/>
  <c r="J7" i="27"/>
  <c r="F23" i="26"/>
  <c r="F20"/>
  <c r="F22"/>
  <c r="F21"/>
  <c r="F7"/>
  <c r="K409" i="25"/>
  <c r="J409"/>
  <c r="I409"/>
  <c r="H409"/>
  <c r="G409"/>
  <c r="F409"/>
  <c r="E409"/>
  <c r="D409"/>
  <c r="C409"/>
  <c r="B409"/>
  <c r="K402"/>
  <c r="J402"/>
  <c r="I402"/>
  <c r="H402"/>
  <c r="G402"/>
  <c r="F402"/>
  <c r="E402"/>
  <c r="D402"/>
  <c r="C402"/>
  <c r="B402"/>
  <c r="K346"/>
  <c r="J346"/>
  <c r="I346"/>
  <c r="H346"/>
  <c r="G346"/>
  <c r="F346"/>
  <c r="E346"/>
  <c r="D346"/>
  <c r="C346"/>
  <c r="B346"/>
  <c r="K336"/>
  <c r="J336"/>
  <c r="I336"/>
  <c r="H336"/>
  <c r="G336"/>
  <c r="F336"/>
  <c r="E336"/>
  <c r="D336"/>
  <c r="C336"/>
  <c r="B336"/>
  <c r="K305"/>
  <c r="J305"/>
  <c r="I305"/>
  <c r="H305"/>
  <c r="G305"/>
  <c r="F305"/>
  <c r="E305"/>
  <c r="D305"/>
  <c r="C305"/>
  <c r="B305"/>
  <c r="K298"/>
  <c r="J298"/>
  <c r="I298"/>
  <c r="H298"/>
  <c r="G298"/>
  <c r="F298"/>
  <c r="E298"/>
  <c r="D298"/>
  <c r="C298"/>
  <c r="B298"/>
  <c r="K242"/>
  <c r="J242"/>
  <c r="I242"/>
  <c r="H242"/>
  <c r="G242"/>
  <c r="F242"/>
  <c r="E242"/>
  <c r="D242"/>
  <c r="C242"/>
  <c r="B242"/>
  <c r="K232"/>
  <c r="J232"/>
  <c r="I232"/>
  <c r="H232"/>
  <c r="G232"/>
  <c r="F232"/>
  <c r="E232"/>
  <c r="D232"/>
  <c r="C232"/>
  <c r="B232"/>
  <c r="M7" i="24"/>
  <c r="M6"/>
  <c r="M5"/>
  <c r="M8"/>
  <c r="H24" i="19"/>
  <c r="H25"/>
  <c r="H26"/>
  <c r="H27"/>
  <c r="H28"/>
  <c r="E32" i="18"/>
  <c r="W33"/>
  <c r="W27"/>
  <c r="W22"/>
  <c r="W16"/>
  <c r="W10"/>
  <c r="W5"/>
  <c r="W4"/>
  <c r="S35"/>
  <c r="Y6" i="8"/>
  <c r="L58"/>
  <c r="Y7"/>
  <c r="L51"/>
  <c r="Y5"/>
  <c r="L44"/>
  <c r="Y4"/>
  <c r="L37"/>
  <c r="Y8"/>
  <c r="L30"/>
  <c r="Y9"/>
  <c r="L23"/>
  <c r="Y11"/>
  <c r="L16"/>
  <c r="Y10"/>
  <c r="L9"/>
  <c r="J42" i="2"/>
  <c r="Q26" i="32"/>
  <c r="P26"/>
  <c r="O26"/>
  <c r="N26"/>
  <c r="Q30"/>
  <c r="P30"/>
  <c r="O30"/>
  <c r="N30"/>
  <c r="Q27"/>
  <c r="P27"/>
  <c r="O27"/>
  <c r="N27"/>
  <c r="Q29"/>
  <c r="P29"/>
  <c r="O29"/>
  <c r="N29"/>
  <c r="Q31"/>
  <c r="P31"/>
  <c r="O31"/>
  <c r="N31"/>
  <c r="Q32"/>
  <c r="P32"/>
  <c r="O32"/>
  <c r="N32"/>
  <c r="Q28"/>
  <c r="P28"/>
  <c r="O28"/>
  <c r="N28"/>
  <c r="Q33"/>
  <c r="P33"/>
  <c r="O33"/>
  <c r="N33"/>
  <c r="I99"/>
  <c r="H99"/>
  <c r="G99"/>
  <c r="F99"/>
  <c r="E99"/>
  <c r="D99"/>
  <c r="C99"/>
  <c r="B99"/>
  <c r="U39" i="31"/>
  <c r="T39"/>
  <c r="S39"/>
  <c r="R39"/>
  <c r="U38"/>
  <c r="T38"/>
  <c r="S38"/>
  <c r="R38"/>
  <c r="U12"/>
  <c r="T12"/>
  <c r="S12"/>
  <c r="R12"/>
  <c r="R6"/>
  <c r="O100"/>
  <c r="I13"/>
  <c r="H13"/>
  <c r="G13"/>
  <c r="F13"/>
  <c r="F7"/>
  <c r="B100"/>
  <c r="O16" i="30"/>
  <c r="O43"/>
  <c r="J58"/>
  <c r="I58"/>
  <c r="H58"/>
  <c r="G58"/>
  <c r="F58"/>
  <c r="E58"/>
  <c r="D58"/>
  <c r="C58"/>
  <c r="B58"/>
  <c r="K30"/>
  <c r="J30"/>
  <c r="I30"/>
  <c r="H30"/>
  <c r="G30"/>
  <c r="F30"/>
  <c r="E30"/>
  <c r="D30"/>
  <c r="C30"/>
  <c r="L28"/>
  <c r="L27"/>
  <c r="L26"/>
  <c r="L25"/>
  <c r="L24"/>
  <c r="L23"/>
  <c r="L22"/>
  <c r="L21"/>
  <c r="L20"/>
  <c r="L19"/>
  <c r="L18"/>
  <c r="L17"/>
  <c r="L16"/>
  <c r="L15"/>
  <c r="L14"/>
  <c r="L13"/>
  <c r="L12"/>
  <c r="L11"/>
  <c r="L10"/>
  <c r="L9"/>
  <c r="L8"/>
  <c r="L7"/>
  <c r="L6"/>
  <c r="J21" i="29"/>
  <c r="J20"/>
  <c r="J22"/>
  <c r="K21"/>
  <c r="I21"/>
  <c r="I20"/>
  <c r="I22"/>
  <c r="H21"/>
  <c r="K20"/>
  <c r="K22"/>
  <c r="H20"/>
  <c r="K15"/>
  <c r="J15"/>
  <c r="I15"/>
  <c r="H15"/>
  <c r="K14"/>
  <c r="K16"/>
  <c r="J14"/>
  <c r="J16"/>
  <c r="I14"/>
  <c r="I16"/>
  <c r="H14"/>
  <c r="H16"/>
  <c r="E103"/>
  <c r="H10"/>
  <c r="D103"/>
  <c r="H9"/>
  <c r="C103"/>
  <c r="H7"/>
  <c r="B103"/>
  <c r="H6"/>
  <c r="J34" i="28"/>
  <c r="J33"/>
  <c r="I12"/>
  <c r="M27"/>
  <c r="M28"/>
  <c r="M29"/>
  <c r="L29"/>
  <c r="K29"/>
  <c r="J29"/>
  <c r="I29"/>
  <c r="H22" i="29"/>
  <c r="N21" i="27"/>
  <c r="N20"/>
  <c r="N19"/>
  <c r="J15"/>
  <c r="M22"/>
  <c r="L22"/>
  <c r="K22"/>
  <c r="J22"/>
  <c r="I15" i="26"/>
  <c r="H15"/>
  <c r="G15"/>
  <c r="F15"/>
  <c r="K193" i="25"/>
  <c r="J193"/>
  <c r="I193"/>
  <c r="H193"/>
  <c r="G193"/>
  <c r="F193"/>
  <c r="E193"/>
  <c r="D193"/>
  <c r="C193"/>
  <c r="B193"/>
  <c r="K97"/>
  <c r="J97"/>
  <c r="I97"/>
  <c r="H97"/>
  <c r="G97"/>
  <c r="F97"/>
  <c r="E97"/>
  <c r="D97"/>
  <c r="C97"/>
  <c r="B97"/>
  <c r="K8" i="24"/>
  <c r="K7"/>
  <c r="K6"/>
  <c r="K5"/>
  <c r="I15" i="23"/>
  <c r="H15"/>
  <c r="G15"/>
  <c r="F15"/>
  <c r="F8"/>
  <c r="H15" i="22"/>
  <c r="G15"/>
  <c r="F15"/>
  <c r="E15"/>
  <c r="I15"/>
  <c r="E8"/>
  <c r="I224" i="21"/>
  <c r="H224"/>
  <c r="G224"/>
  <c r="F224"/>
  <c r="E224"/>
  <c r="D224"/>
  <c r="C224"/>
  <c r="B224"/>
  <c r="I216"/>
  <c r="H216"/>
  <c r="G216"/>
  <c r="F216"/>
  <c r="E216"/>
  <c r="D216"/>
  <c r="C216"/>
  <c r="B216"/>
  <c r="I152"/>
  <c r="H152"/>
  <c r="G152"/>
  <c r="F152"/>
  <c r="E152"/>
  <c r="D152"/>
  <c r="C152"/>
  <c r="B152"/>
  <c r="I142"/>
  <c r="H142"/>
  <c r="G142"/>
  <c r="F142"/>
  <c r="E142"/>
  <c r="D142"/>
  <c r="C142"/>
  <c r="B142"/>
  <c r="I108"/>
  <c r="H108"/>
  <c r="G108"/>
  <c r="F108"/>
  <c r="E108"/>
  <c r="D108"/>
  <c r="C108"/>
  <c r="B108"/>
  <c r="C138" i="19"/>
  <c r="C131"/>
  <c r="C37"/>
  <c r="C47"/>
  <c r="B140"/>
  <c r="C138" i="18"/>
  <c r="C131"/>
  <c r="C47"/>
  <c r="C37"/>
  <c r="B140"/>
  <c r="C139" i="10"/>
  <c r="C132"/>
  <c r="C47"/>
  <c r="C37"/>
  <c r="B141"/>
  <c r="O69" i="8"/>
  <c r="P75"/>
  <c r="N75"/>
  <c r="L75"/>
  <c r="S75"/>
  <c r="M75"/>
  <c r="Q75"/>
  <c r="R75"/>
  <c r="O75"/>
  <c r="N72"/>
  <c r="O72"/>
  <c r="M72"/>
  <c r="L72"/>
  <c r="R72"/>
  <c r="P72"/>
  <c r="S72"/>
  <c r="Q72"/>
  <c r="P69"/>
  <c r="M69"/>
  <c r="L69"/>
  <c r="N69"/>
  <c r="Q69"/>
  <c r="R69"/>
  <c r="S69"/>
  <c r="O66"/>
  <c r="P66"/>
  <c r="M66"/>
  <c r="L66"/>
  <c r="N66"/>
  <c r="R66"/>
  <c r="S66"/>
  <c r="Q66"/>
  <c r="N57"/>
  <c r="N56"/>
  <c r="N55"/>
  <c r="N54"/>
  <c r="N50"/>
  <c r="N49"/>
  <c r="N48"/>
  <c r="N47"/>
  <c r="N43"/>
  <c r="N42"/>
  <c r="N41"/>
  <c r="N40"/>
  <c r="N36"/>
  <c r="N35"/>
  <c r="N34"/>
  <c r="N33"/>
  <c r="N29"/>
  <c r="N28"/>
  <c r="N27"/>
  <c r="N26"/>
  <c r="N22"/>
  <c r="N21"/>
  <c r="N20"/>
  <c r="N19"/>
  <c r="N15"/>
  <c r="N14"/>
  <c r="N13"/>
  <c r="N8"/>
  <c r="N7"/>
  <c r="N6"/>
  <c r="N12"/>
  <c r="N5"/>
  <c r="O8" i="5"/>
  <c r="K8"/>
  <c r="J7" i="6"/>
  <c r="J6" i="7"/>
  <c r="F6"/>
  <c r="F7" i="6"/>
  <c r="K54" i="4"/>
  <c r="K53"/>
  <c r="K52"/>
  <c r="K51"/>
  <c r="K50"/>
  <c r="K49"/>
  <c r="K48"/>
  <c r="H29"/>
  <c r="F29"/>
  <c r="E29"/>
  <c r="G29"/>
  <c r="B136"/>
  <c r="E10"/>
  <c r="F10"/>
  <c r="E9"/>
  <c r="F9"/>
  <c r="H165"/>
  <c r="E12"/>
  <c r="F12"/>
  <c r="E11"/>
  <c r="F11"/>
  <c r="C149" i="3"/>
  <c r="C150"/>
  <c r="I27" i="4"/>
  <c r="I26"/>
  <c r="I25"/>
  <c r="I24"/>
  <c r="I23"/>
  <c r="I21"/>
  <c r="O8" i="3"/>
  <c r="N12"/>
  <c r="M12"/>
  <c r="L12"/>
  <c r="K12"/>
  <c r="O6"/>
  <c r="O7"/>
  <c r="O4"/>
  <c r="O5"/>
  <c r="O9"/>
  <c r="O10"/>
  <c r="H11"/>
  <c r="G11"/>
  <c r="G26" i="2"/>
  <c r="K30"/>
  <c r="K31"/>
  <c r="G18"/>
  <c r="J31"/>
  <c r="J18"/>
  <c r="F26"/>
  <c r="F18"/>
  <c r="J15" i="26"/>
  <c r="N22" i="27"/>
  <c r="J15" i="23"/>
  <c r="I22" i="4"/>
  <c r="I29"/>
  <c r="E15"/>
  <c r="E16"/>
  <c r="O12" i="3"/>
  <c r="B27" i="37"/>
</calcChain>
</file>

<file path=xl/sharedStrings.xml><?xml version="1.0" encoding="utf-8"?>
<sst xmlns="http://schemas.openxmlformats.org/spreadsheetml/2006/main" count="38779" uniqueCount="1425">
  <si>
    <t>CODERESP</t>
  </si>
  <si>
    <t>v002type</t>
  </si>
  <si>
    <t>V002</t>
  </si>
  <si>
    <t>V003</t>
  </si>
  <si>
    <t>V009</t>
  </si>
  <si>
    <t>V010</t>
  </si>
  <si>
    <t>V011</t>
  </si>
  <si>
    <t>V012</t>
  </si>
  <si>
    <t>V013</t>
  </si>
  <si>
    <t>V014</t>
  </si>
  <si>
    <t>V015_01</t>
  </si>
  <si>
    <t>V015_02</t>
  </si>
  <si>
    <t>V015_03</t>
  </si>
  <si>
    <t>V015_04</t>
  </si>
  <si>
    <t>V015_05</t>
  </si>
  <si>
    <t>V015_06</t>
  </si>
  <si>
    <t>V015_07</t>
  </si>
  <si>
    <t>V015_08</t>
  </si>
  <si>
    <t>V015A_1_01</t>
  </si>
  <si>
    <t>V015A_1_02</t>
  </si>
  <si>
    <t>V015A_1_03</t>
  </si>
  <si>
    <t>V015A_2_01</t>
  </si>
  <si>
    <t>V015A_2_02</t>
  </si>
  <si>
    <t>V015A_2_03</t>
  </si>
  <si>
    <t>V015A_3_01</t>
  </si>
  <si>
    <t>V015A_3_02</t>
  </si>
  <si>
    <t>V015A_3_03</t>
  </si>
  <si>
    <t>V015A_4_01</t>
  </si>
  <si>
    <t>V015A_4_02</t>
  </si>
  <si>
    <t>V015A_4_03</t>
  </si>
  <si>
    <t>V015A_5_01</t>
  </si>
  <si>
    <t>V015A_5_02</t>
  </si>
  <si>
    <t>V015A_5_03</t>
  </si>
  <si>
    <t>V015A_6_01</t>
  </si>
  <si>
    <t>V015A_6_02</t>
  </si>
  <si>
    <t>V015A_6_03</t>
  </si>
  <si>
    <t>V015A_7_01</t>
  </si>
  <si>
    <t>V015A_7_02</t>
  </si>
  <si>
    <t>V015A_7_03</t>
  </si>
  <si>
    <t>V015A_8_01</t>
  </si>
  <si>
    <t>V015A_8_02</t>
  </si>
  <si>
    <t>V015A_8_03</t>
  </si>
  <si>
    <t>V015A_9_01</t>
  </si>
  <si>
    <t>V015A_9_02</t>
  </si>
  <si>
    <t>V015A_9_03</t>
  </si>
  <si>
    <t>V015A_10_01</t>
  </si>
  <si>
    <t>V015A_10_02</t>
  </si>
  <si>
    <t>V015A_10_03</t>
  </si>
  <si>
    <t>V015B_1_01</t>
  </si>
  <si>
    <t>V015B_1_02</t>
  </si>
  <si>
    <t>V015B_1_03</t>
  </si>
  <si>
    <t>V015B_2_01</t>
  </si>
  <si>
    <t>V015B_2_02</t>
  </si>
  <si>
    <t>V015B_2_03</t>
  </si>
  <si>
    <t>V015B_3_01</t>
  </si>
  <si>
    <t>V015B_3_02</t>
  </si>
  <si>
    <t>V015B_3_03</t>
  </si>
  <si>
    <t>V015B_4_01</t>
  </si>
  <si>
    <t>V015B_4_02</t>
  </si>
  <si>
    <t>V015B_4_03</t>
  </si>
  <si>
    <t>V015B_5_01</t>
  </si>
  <si>
    <t>V015B_5_02</t>
  </si>
  <si>
    <t>V015B_5_03</t>
  </si>
  <si>
    <t>V015B_6_01</t>
  </si>
  <si>
    <t>V015B_6_02</t>
  </si>
  <si>
    <t>V015B_6_03</t>
  </si>
  <si>
    <t>V015B_7_01</t>
  </si>
  <si>
    <t>V015B_7_02</t>
  </si>
  <si>
    <t>V015B_7_03</t>
  </si>
  <si>
    <t>V015B_8_01</t>
  </si>
  <si>
    <t>V015B_8_02</t>
  </si>
  <si>
    <t>V015B_8_03</t>
  </si>
  <si>
    <t>V015C_1_01</t>
  </si>
  <si>
    <t>V015C_1_02</t>
  </si>
  <si>
    <t>V015C_1_03</t>
  </si>
  <si>
    <t>V015C_2_01</t>
  </si>
  <si>
    <t>V015C_2_02</t>
  </si>
  <si>
    <t>V015C_2_03</t>
  </si>
  <si>
    <t>V015D_1_01</t>
  </si>
  <si>
    <t>V015D_1_02</t>
  </si>
  <si>
    <t>V015D_1_03</t>
  </si>
  <si>
    <t>V015D_2_01</t>
  </si>
  <si>
    <t>V015D_2_02</t>
  </si>
  <si>
    <t>V015D_2_03</t>
  </si>
  <si>
    <t>V015D_3_01</t>
  </si>
  <si>
    <t>V015D_3_02</t>
  </si>
  <si>
    <t>V015D_3_03</t>
  </si>
  <si>
    <t>V015D_4_01</t>
  </si>
  <si>
    <t>V015D_4_02</t>
  </si>
  <si>
    <t>V015D_4_03</t>
  </si>
  <si>
    <t>V015D_5_01</t>
  </si>
  <si>
    <t>V015D_5_02</t>
  </si>
  <si>
    <t>V015D_5_03</t>
  </si>
  <si>
    <t>V015E_1_01</t>
  </si>
  <si>
    <t>V015E_1_02</t>
  </si>
  <si>
    <t>V015E_1_03</t>
  </si>
  <si>
    <t>V015E_2_01</t>
  </si>
  <si>
    <t>V015E_2_02</t>
  </si>
  <si>
    <t>V015E_2_03</t>
  </si>
  <si>
    <t>V015F_1_01</t>
  </si>
  <si>
    <t>V015F_1_02</t>
  </si>
  <si>
    <t>V015F_1_03</t>
  </si>
  <si>
    <t>V015F_2_01</t>
  </si>
  <si>
    <t>V015F_2_02</t>
  </si>
  <si>
    <t>V015F_2_03</t>
  </si>
  <si>
    <t>V015F_3_01</t>
  </si>
  <si>
    <t>V015F_3_02</t>
  </si>
  <si>
    <t>V015F_3_03</t>
  </si>
  <si>
    <t>V015F_4_01</t>
  </si>
  <si>
    <t>V015F_4_02</t>
  </si>
  <si>
    <t>V015F_4_03</t>
  </si>
  <si>
    <t>V015G_1_01</t>
  </si>
  <si>
    <t>V015G_1_02</t>
  </si>
  <si>
    <t>V015G_1_03</t>
  </si>
  <si>
    <t>V015G_2_01</t>
  </si>
  <si>
    <t>V015G_2_02</t>
  </si>
  <si>
    <t>V015G_2_03</t>
  </si>
  <si>
    <t>V015G_3_01</t>
  </si>
  <si>
    <t>V015G_3_02</t>
  </si>
  <si>
    <t>V015G_3_03</t>
  </si>
  <si>
    <t>V015G_4_01</t>
  </si>
  <si>
    <t>V015G_4_02</t>
  </si>
  <si>
    <t>V015G_4_03</t>
  </si>
  <si>
    <t>V015G_5_01</t>
  </si>
  <si>
    <t>V015G_5_02</t>
  </si>
  <si>
    <t>V015G_5_03</t>
  </si>
  <si>
    <t>V015G_6_01</t>
  </si>
  <si>
    <t>V015G_6_02</t>
  </si>
  <si>
    <t>V015G_6_03</t>
  </si>
  <si>
    <t>V015H_1_01</t>
  </si>
  <si>
    <t>V015H_1_02</t>
  </si>
  <si>
    <t>V015H_1_03</t>
  </si>
  <si>
    <t>V015H_2_01</t>
  </si>
  <si>
    <t>V015H_2_02</t>
  </si>
  <si>
    <t>V015H_2_03</t>
  </si>
  <si>
    <t>V015H_3_01</t>
  </si>
  <si>
    <t>V015H_3_02</t>
  </si>
  <si>
    <t>V015H_3_03</t>
  </si>
  <si>
    <t>V015H_4_01</t>
  </si>
  <si>
    <t>V015H_4_02</t>
  </si>
  <si>
    <t>V015H_4_03</t>
  </si>
  <si>
    <t>V015H_5_01</t>
  </si>
  <si>
    <t>V015H_5_02</t>
  </si>
  <si>
    <t>V015H_5_03</t>
  </si>
  <si>
    <t>V015H_6_01</t>
  </si>
  <si>
    <t>V015H_6_02</t>
  </si>
  <si>
    <t>V015H_6_03</t>
  </si>
  <si>
    <t>V015H_7_01</t>
  </si>
  <si>
    <t>V015H_7_02</t>
  </si>
  <si>
    <t>V015H_7_03</t>
  </si>
  <si>
    <t>V015H_8_01</t>
  </si>
  <si>
    <t>V015H_8_02</t>
  </si>
  <si>
    <t>V015H_8_03</t>
  </si>
  <si>
    <t>V016_1</t>
  </si>
  <si>
    <t>V017_1</t>
  </si>
  <si>
    <t>V018_1</t>
  </si>
  <si>
    <t>TUSSEN</t>
  </si>
  <si>
    <t>V018AA_1</t>
  </si>
  <si>
    <t>V018AB_1</t>
  </si>
  <si>
    <t>V018AA_2</t>
  </si>
  <si>
    <t>V018AB_2</t>
  </si>
  <si>
    <t>V018AA_3</t>
  </si>
  <si>
    <t>V018AB_3</t>
  </si>
  <si>
    <t>V018AA_4</t>
  </si>
  <si>
    <t>V018AB_4</t>
  </si>
  <si>
    <t>V018AA_5</t>
  </si>
  <si>
    <t>V018AB_5</t>
  </si>
  <si>
    <t>V018AA_6</t>
  </si>
  <si>
    <t>V018AB_6</t>
  </si>
  <si>
    <t>V018AA_7</t>
  </si>
  <si>
    <t>V018AB_7</t>
  </si>
  <si>
    <t>V018AA_8</t>
  </si>
  <si>
    <t>V018AB_8</t>
  </si>
  <si>
    <t>V018AA_9</t>
  </si>
  <si>
    <t>V018AB_9</t>
  </si>
  <si>
    <t>V018AA_10</t>
  </si>
  <si>
    <t>V018AB_10</t>
  </si>
  <si>
    <t>V018AC_1</t>
  </si>
  <si>
    <t>V018AC_2</t>
  </si>
  <si>
    <t>V018AC_3</t>
  </si>
  <si>
    <t>V018AC_4</t>
  </si>
  <si>
    <t>V018AC_5</t>
  </si>
  <si>
    <t>V018AC_6</t>
  </si>
  <si>
    <t>V018AC_7</t>
  </si>
  <si>
    <t>V018AC_8</t>
  </si>
  <si>
    <t>V018AC_9</t>
  </si>
  <si>
    <t>V018AC_10</t>
  </si>
  <si>
    <t>V018AD_1</t>
  </si>
  <si>
    <t>V018AE_1</t>
  </si>
  <si>
    <t>V018AF_1</t>
  </si>
  <si>
    <t>V018AD_2</t>
  </si>
  <si>
    <t>V018AE_2</t>
  </si>
  <si>
    <t>V018AF_2</t>
  </si>
  <si>
    <t>V018AD_3</t>
  </si>
  <si>
    <t>V018AE_3</t>
  </si>
  <si>
    <t>V018AF_3</t>
  </si>
  <si>
    <t>V018AD_4</t>
  </si>
  <si>
    <t>V018AE_4</t>
  </si>
  <si>
    <t>V018AF_4</t>
  </si>
  <si>
    <t>V018AD_5</t>
  </si>
  <si>
    <t>V018AE_5</t>
  </si>
  <si>
    <t>V018AF_5</t>
  </si>
  <si>
    <t>V018AD_6</t>
  </si>
  <si>
    <t>V018AE_6</t>
  </si>
  <si>
    <t>V018AF_6</t>
  </si>
  <si>
    <t>V018AD_7</t>
  </si>
  <si>
    <t>V018AE_7</t>
  </si>
  <si>
    <t>V018AF_7</t>
  </si>
  <si>
    <t>V018AD_8</t>
  </si>
  <si>
    <t>V018AE_8</t>
  </si>
  <si>
    <t>V018AF_8</t>
  </si>
  <si>
    <t>V018AD_9</t>
  </si>
  <si>
    <t>V018AE_9</t>
  </si>
  <si>
    <t>V018AF_9</t>
  </si>
  <si>
    <t>V018AD_10</t>
  </si>
  <si>
    <t>V018AE_10</t>
  </si>
  <si>
    <t>V018AF_10</t>
  </si>
  <si>
    <t>V018BA_1</t>
  </si>
  <si>
    <t>V018BA_2</t>
  </si>
  <si>
    <t>V018BA_3</t>
  </si>
  <si>
    <t>V018BA_4</t>
  </si>
  <si>
    <t>V018BA_5</t>
  </si>
  <si>
    <t>V018BA_6</t>
  </si>
  <si>
    <t>V018BA_7</t>
  </si>
  <si>
    <t>V018BA_8</t>
  </si>
  <si>
    <t>V018BB_1</t>
  </si>
  <si>
    <t>V018BB_2</t>
  </si>
  <si>
    <t>V018BB_3</t>
  </si>
  <si>
    <t>V018BB_4</t>
  </si>
  <si>
    <t>V018BB_5</t>
  </si>
  <si>
    <t>V018BB_6</t>
  </si>
  <si>
    <t>V018BB_7</t>
  </si>
  <si>
    <t>V018BB_8</t>
  </si>
  <si>
    <t>V018BC_1</t>
  </si>
  <si>
    <t>V018BC_2</t>
  </si>
  <si>
    <t>V018BC_3</t>
  </si>
  <si>
    <t>V018BC_4</t>
  </si>
  <si>
    <t>V018BC_5</t>
  </si>
  <si>
    <t>V018BC_6</t>
  </si>
  <si>
    <t>V018BC_7</t>
  </si>
  <si>
    <t>V018BC_8</t>
  </si>
  <si>
    <t>V018BD_1</t>
  </si>
  <si>
    <t>V018BE_1</t>
  </si>
  <si>
    <t>V018BF_1</t>
  </si>
  <si>
    <t>V018BD_2</t>
  </si>
  <si>
    <t>V018BE_2</t>
  </si>
  <si>
    <t>V018BF_2</t>
  </si>
  <si>
    <t>V018BD_3</t>
  </si>
  <si>
    <t>V018BE_3</t>
  </si>
  <si>
    <t>V018BF_3</t>
  </si>
  <si>
    <t>V018BD_4</t>
  </si>
  <si>
    <t>V018BE_4</t>
  </si>
  <si>
    <t>V018BF_4</t>
  </si>
  <si>
    <t>V018BD_5</t>
  </si>
  <si>
    <t>V018BE_5</t>
  </si>
  <si>
    <t>V018BF_5</t>
  </si>
  <si>
    <t>V018BD_6</t>
  </si>
  <si>
    <t>V018BE_6</t>
  </si>
  <si>
    <t>V018BF_6</t>
  </si>
  <si>
    <t>V018BD_7</t>
  </si>
  <si>
    <t>V018BE_7</t>
  </si>
  <si>
    <t>V018BF_7</t>
  </si>
  <si>
    <t>V018BD_8</t>
  </si>
  <si>
    <t>V018BE_8</t>
  </si>
  <si>
    <t>V018BF_8</t>
  </si>
  <si>
    <t>V018CA_1</t>
  </si>
  <si>
    <t>V018CA_2</t>
  </si>
  <si>
    <t>V018CA_3</t>
  </si>
  <si>
    <t>V018CA_4</t>
  </si>
  <si>
    <t>V018CB_1</t>
  </si>
  <si>
    <t>V018CB_2</t>
  </si>
  <si>
    <t>V018CB_3</t>
  </si>
  <si>
    <t>V018CB_4</t>
  </si>
  <si>
    <t>V018CC_1</t>
  </si>
  <si>
    <t>V018CC_2</t>
  </si>
  <si>
    <t>V018CC_3</t>
  </si>
  <si>
    <t>V018CC_4</t>
  </si>
  <si>
    <t>V018CD_1</t>
  </si>
  <si>
    <t>V018CE_1</t>
  </si>
  <si>
    <t>V018CF_1</t>
  </si>
  <si>
    <t>V018CD_2</t>
  </si>
  <si>
    <t>V018CE_2</t>
  </si>
  <si>
    <t>V018CF_2</t>
  </si>
  <si>
    <t>V018CD_3</t>
  </si>
  <si>
    <t>V018CE_3</t>
  </si>
  <si>
    <t>V018CF_3</t>
  </si>
  <si>
    <t>V018CD_4</t>
  </si>
  <si>
    <t>V018CE_4</t>
  </si>
  <si>
    <t>V018CF_4</t>
  </si>
  <si>
    <t>V018DA_1</t>
  </si>
  <si>
    <t>V018DA_2</t>
  </si>
  <si>
    <t>V018DA_3</t>
  </si>
  <si>
    <t>V018DA_4</t>
  </si>
  <si>
    <t>V018DA_5</t>
  </si>
  <si>
    <t>V018DB_1</t>
  </si>
  <si>
    <t>V018DB_2</t>
  </si>
  <si>
    <t>V018DB_3</t>
  </si>
  <si>
    <t>V018DB_4</t>
  </si>
  <si>
    <t>V018DB_5</t>
  </si>
  <si>
    <t>V018DD_1</t>
  </si>
  <si>
    <t>V018DE_1</t>
  </si>
  <si>
    <t>V018DF_1</t>
  </si>
  <si>
    <t>V018DD_2</t>
  </si>
  <si>
    <t>V018DE_2</t>
  </si>
  <si>
    <t>V018DF_2</t>
  </si>
  <si>
    <t>V018DD_3</t>
  </si>
  <si>
    <t>V018DE_3</t>
  </si>
  <si>
    <t>V018DF_3</t>
  </si>
  <si>
    <t>V018DD_4</t>
  </si>
  <si>
    <t>V018DE_4</t>
  </si>
  <si>
    <t>V018DF_4</t>
  </si>
  <si>
    <t>V018DD_5</t>
  </si>
  <si>
    <t>V018DE_5</t>
  </si>
  <si>
    <t>V018DF_5</t>
  </si>
  <si>
    <t>V018EA_1</t>
  </si>
  <si>
    <t>V018EA_2</t>
  </si>
  <si>
    <t>V018EB_1</t>
  </si>
  <si>
    <t>V018EB_2</t>
  </si>
  <si>
    <t>V018ED_1</t>
  </si>
  <si>
    <t>V018EE_1</t>
  </si>
  <si>
    <t>V018EF_1</t>
  </si>
  <si>
    <t>V018ED_2</t>
  </si>
  <si>
    <t>V018EE_2</t>
  </si>
  <si>
    <t>V018EF_2</t>
  </si>
  <si>
    <t>V018FA_1</t>
  </si>
  <si>
    <t>V018FA_2</t>
  </si>
  <si>
    <t>V018FA_3</t>
  </si>
  <si>
    <t>V018FA_4</t>
  </si>
  <si>
    <t>V018FD_1</t>
  </si>
  <si>
    <t>V018FE_1</t>
  </si>
  <si>
    <t>V018FF_1</t>
  </si>
  <si>
    <t>V018FD_2</t>
  </si>
  <si>
    <t>V018FE_2</t>
  </si>
  <si>
    <t>V018FF_2</t>
  </si>
  <si>
    <t>V018FD_3</t>
  </si>
  <si>
    <t>V018FE_3</t>
  </si>
  <si>
    <t>V018FF_3</t>
  </si>
  <si>
    <t>V018FD_4</t>
  </si>
  <si>
    <t>V018FE_4</t>
  </si>
  <si>
    <t>V018FF_4</t>
  </si>
  <si>
    <t>V018FB_1</t>
  </si>
  <si>
    <t>V018FB_2</t>
  </si>
  <si>
    <t>V018FB_3</t>
  </si>
  <si>
    <t>V018FB_4</t>
  </si>
  <si>
    <t>V018GA_1</t>
  </si>
  <si>
    <t>V018GA_2</t>
  </si>
  <si>
    <t>V018GA_3</t>
  </si>
  <si>
    <t>V018GA_4</t>
  </si>
  <si>
    <t>V018GA_5</t>
  </si>
  <si>
    <t>V018GA_6</t>
  </si>
  <si>
    <t>V018GB_1</t>
  </si>
  <si>
    <t>V018GB_2</t>
  </si>
  <si>
    <t>V018GB_3</t>
  </si>
  <si>
    <t>V018GB_4</t>
  </si>
  <si>
    <t>V018GB_5</t>
  </si>
  <si>
    <t>V018GB_6</t>
  </si>
  <si>
    <t>V018GC_1</t>
  </si>
  <si>
    <t>V018GC_2</t>
  </si>
  <si>
    <t>V018GC_3</t>
  </si>
  <si>
    <t>V018GC_4</t>
  </si>
  <si>
    <t>V018GC_5</t>
  </si>
  <si>
    <t>V018GC_6</t>
  </si>
  <si>
    <t>V018HA_1</t>
  </si>
  <si>
    <t>V018HA_2</t>
  </si>
  <si>
    <t>V018HA_3</t>
  </si>
  <si>
    <t>V018HA_4</t>
  </si>
  <si>
    <t>V018HA_5</t>
  </si>
  <si>
    <t>V018HA_6</t>
  </si>
  <si>
    <t>V018HA_8</t>
  </si>
  <si>
    <t>V018HA_7</t>
  </si>
  <si>
    <t>V018HC_1</t>
  </si>
  <si>
    <t>V018HC_2</t>
  </si>
  <si>
    <t>V018HC_3</t>
  </si>
  <si>
    <t>V018HC_4</t>
  </si>
  <si>
    <t>V018HC_5</t>
  </si>
  <si>
    <t>V018HC_6</t>
  </si>
  <si>
    <t>V018HC_7</t>
  </si>
  <si>
    <t>V018HC_8</t>
  </si>
  <si>
    <t>V018GD_1</t>
  </si>
  <si>
    <t>V018GE_1</t>
  </si>
  <si>
    <t>V018GF_1</t>
  </si>
  <si>
    <t>V018GD_2</t>
  </si>
  <si>
    <t>V018GE_2</t>
  </si>
  <si>
    <t>V018GF_2</t>
  </si>
  <si>
    <t>V018GD_3</t>
  </si>
  <si>
    <t>V018GE_3</t>
  </si>
  <si>
    <t>V018GF_3</t>
  </si>
  <si>
    <t>V018GD_4</t>
  </si>
  <si>
    <t>V018GE_4</t>
  </si>
  <si>
    <t>V018GF_4</t>
  </si>
  <si>
    <t>V018GD_5</t>
  </si>
  <si>
    <t>V018GE_5</t>
  </si>
  <si>
    <t>V018GF_5</t>
  </si>
  <si>
    <t>V018GD_6</t>
  </si>
  <si>
    <t>V018GE_6</t>
  </si>
  <si>
    <t>V018GF_6</t>
  </si>
  <si>
    <t>V019_1</t>
  </si>
  <si>
    <t>V019_2</t>
  </si>
  <si>
    <t>V019_3</t>
  </si>
  <si>
    <t>V019_4</t>
  </si>
  <si>
    <t>V019_5</t>
  </si>
  <si>
    <t>V019_6</t>
  </si>
  <si>
    <t>V019_7</t>
  </si>
  <si>
    <t>V019_8</t>
  </si>
  <si>
    <t>V019t</t>
  </si>
  <si>
    <t>V020</t>
  </si>
  <si>
    <t>V021</t>
  </si>
  <si>
    <t>V022_01</t>
  </si>
  <si>
    <t>V022_02</t>
  </si>
  <si>
    <t>V022_03</t>
  </si>
  <si>
    <t>V022_04</t>
  </si>
  <si>
    <t>V022_05</t>
  </si>
  <si>
    <t>V022t_05</t>
  </si>
  <si>
    <t>V023A_1</t>
  </si>
  <si>
    <t>V023A_2</t>
  </si>
  <si>
    <t>V023A_3</t>
  </si>
  <si>
    <t>V023A_4</t>
  </si>
  <si>
    <t>V023A_5</t>
  </si>
  <si>
    <t>V023A_6</t>
  </si>
  <si>
    <t>V023A_7</t>
  </si>
  <si>
    <t>V023A_8</t>
  </si>
  <si>
    <t>V023A_9</t>
  </si>
  <si>
    <t>V023A_10</t>
  </si>
  <si>
    <t>V023B_1</t>
  </si>
  <si>
    <t>V023B_2</t>
  </si>
  <si>
    <t>V023B_3</t>
  </si>
  <si>
    <t>V023B_4</t>
  </si>
  <si>
    <t>V023B_5</t>
  </si>
  <si>
    <t>V023B_6</t>
  </si>
  <si>
    <t>V023B_7</t>
  </si>
  <si>
    <t>V023B_8</t>
  </si>
  <si>
    <t>V023B_9</t>
  </si>
  <si>
    <t>V023B_10</t>
  </si>
  <si>
    <t>V023T</t>
  </si>
  <si>
    <t>V024</t>
  </si>
  <si>
    <t>V025</t>
  </si>
  <si>
    <t>V026A_1</t>
  </si>
  <si>
    <t>V026A_2</t>
  </si>
  <si>
    <t>v026Atotal</t>
  </si>
  <si>
    <t>V026B_1</t>
  </si>
  <si>
    <t>V026B_2</t>
  </si>
  <si>
    <t>V027_1</t>
  </si>
  <si>
    <t>V027_2</t>
  </si>
  <si>
    <t>V028_1</t>
  </si>
  <si>
    <t>V028_2</t>
  </si>
  <si>
    <t>V028T</t>
  </si>
  <si>
    <t>V027A_1</t>
  </si>
  <si>
    <t>V027A_2</t>
  </si>
  <si>
    <t>V027A_3</t>
  </si>
  <si>
    <t>V027A_4</t>
  </si>
  <si>
    <t>V027A_5</t>
  </si>
  <si>
    <t>V027A_6</t>
  </si>
  <si>
    <t>V027A_7</t>
  </si>
  <si>
    <t>V027A_8</t>
  </si>
  <si>
    <t>V027A_9</t>
  </si>
  <si>
    <t>V027A_9t</t>
  </si>
  <si>
    <t>V027B_1</t>
  </si>
  <si>
    <t>V027B_2</t>
  </si>
  <si>
    <t>V027B_3</t>
  </si>
  <si>
    <t>V027B_4</t>
  </si>
  <si>
    <t>V027B_5</t>
  </si>
  <si>
    <t>V027B_6</t>
  </si>
  <si>
    <t>V027B_7</t>
  </si>
  <si>
    <t>V027B_8</t>
  </si>
  <si>
    <t>V027B_9</t>
  </si>
  <si>
    <t>V027B_9t</t>
  </si>
  <si>
    <t>V029</t>
  </si>
  <si>
    <t>V030</t>
  </si>
  <si>
    <t>V031_01</t>
  </si>
  <si>
    <t>V031_02</t>
  </si>
  <si>
    <t>V031_03</t>
  </si>
  <si>
    <t>V031_04</t>
  </si>
  <si>
    <t>V031_05</t>
  </si>
  <si>
    <t>V031_06</t>
  </si>
  <si>
    <t>V031_07</t>
  </si>
  <si>
    <t>V031_96</t>
  </si>
  <si>
    <t>V002@</t>
  </si>
  <si>
    <t>V003@</t>
  </si>
  <si>
    <t>V019T@</t>
  </si>
  <si>
    <t>V022@_05</t>
  </si>
  <si>
    <t>V027A_9@</t>
  </si>
  <si>
    <t>V027B_9@</t>
  </si>
  <si>
    <t>V031@</t>
  </si>
  <si>
    <t>V032@</t>
  </si>
  <si>
    <t>V033@</t>
  </si>
  <si>
    <t>Library</t>
  </si>
  <si>
    <t>&gt; 10M €</t>
  </si>
  <si>
    <t>Yes</t>
  </si>
  <si>
    <t>No</t>
  </si>
  <si>
    <t>Chosen</t>
  </si>
  <si>
    <t>Not chosen</t>
  </si>
  <si>
    <t>Show table</t>
  </si>
  <si>
    <t>Yes, we have our own digital archive that meets the internat</t>
  </si>
  <si>
    <t>2012</t>
  </si>
  <si>
    <t>OK, show me the additional question</t>
  </si>
  <si>
    <t>Public library</t>
  </si>
  <si>
    <t>1 - 10M €</t>
  </si>
  <si>
    <t>No, we do not have a solution yet for the long term preserva</t>
  </si>
  <si>
    <t>Other type of institution:</t>
  </si>
  <si>
    <t>Film institute</t>
  </si>
  <si>
    <t>Netherlands</t>
  </si>
  <si>
    <t>database ontwikkeling</t>
  </si>
  <si>
    <t>De digitaliseringsgraad afmeten aan het aantal objecten dat zich in de collectie bevindt is een beetje onzinnig. Het gaat in feiten om de kerncollecties.</t>
  </si>
  <si>
    <t>Museum</t>
  </si>
  <si>
    <t>Museum of art</t>
  </si>
  <si>
    <t>100,000-500,000 €</t>
  </si>
  <si>
    <t>Archive / records office</t>
  </si>
  <si>
    <t>Other archive / records office</t>
  </si>
  <si>
    <t>I want to skip the additional question</t>
  </si>
  <si>
    <t>500,000-1M €</t>
  </si>
  <si>
    <t>2010</t>
  </si>
  <si>
    <t>Higher education library</t>
  </si>
  <si>
    <t>Yes, our digital collections are archived in a publicly mana</t>
  </si>
  <si>
    <t>Special or other type of library</t>
  </si>
  <si>
    <t>Misschien komt het wel als ik op de verzendknop druk aan het einde, maar een overzicht van de ingevulde gegevens, bijvoorbeeld in pdf vorm, zou prettig zijn, omdat een uitvoerige invulexercitie dan ook intern van waarde kan zijn.</t>
  </si>
  <si>
    <t>Yes, our digital collections are archived in a privately man</t>
  </si>
  <si>
    <t>&lt; 10,000 €</t>
  </si>
  <si>
    <t>10,000-50,000 €</t>
  </si>
  <si>
    <t>Museum of archaeology or history</t>
  </si>
  <si>
    <t>Do not know</t>
  </si>
  <si>
    <t>Museum of ethnography or anthropology</t>
  </si>
  <si>
    <t>erfgoedinstelling incl. bibliotheek</t>
  </si>
  <si>
    <t>Organiseren van tentoonstellingen, digitale producties, boekproducties</t>
  </si>
  <si>
    <t>Samenwerken met andere erfgoedinstellingen</t>
  </si>
  <si>
    <t>Apparatuur</t>
  </si>
  <si>
    <t>Van belang is om te weten dat de Brabant-Collectie ook verantwoordelijk is voor de erfgoedcollecties (middeleeuwse handschriften, oude drukken, prenten) van theologie. De collecties vullen elkaar goed aan. De Brabant-Collectie wordt geheel gefinancierd door de Provincie Noord-Brabant, de eigenaar van de collectie. De dienst Library &amp; IT Services (LIS) van Tilburg University is verantwoordelik voor het beheer an de Brabant-Collectie. Team Brabant-Collectie is onderdeel van LIS, maar heeft eigen doelen en doelgroepen</t>
  </si>
  <si>
    <t>Probleem van dit soot enquetes is altijd, dat ze nooit exact op specifieke instellingen zijn gericht. Daarom is het lastig op sommige vragen te antwoorden.Ik weet, dat jullie tests doen om na te gaan of de enquete helder is. Dus echte suggesties voor verbetering heb ik nu niet.</t>
  </si>
  <si>
    <t>Data-archief werkend op nationaal niveau</t>
  </si>
  <si>
    <t>Institution for monument care</t>
  </si>
  <si>
    <t>Botanic garden</t>
  </si>
  <si>
    <t>de formulering van de vragen in Engels (print) en Nederlands (online), bijv. 3/7/19 on the use of physical originals, is niet altijd dezelfde.</t>
  </si>
  <si>
    <t>samenstellen van presentaties</t>
  </si>
  <si>
    <t>Museum of natural history or natural science</t>
  </si>
  <si>
    <t>geen</t>
  </si>
  <si>
    <t>Museum of science or technology</t>
  </si>
  <si>
    <t>2011</t>
  </si>
  <si>
    <t>--</t>
  </si>
  <si>
    <t>---</t>
  </si>
  <si>
    <t>De tabellen met uitsplitsing vna objecttypen en activiteiten sluiten niet goed aan op de wijze die - in ieder geval - het stadsarchief Amsterdam gewend is. Over het algemeen wordt bijvoorbeeld meer in meter dan in items gerekend. Ik kan zo zeggen wat een meter archief digitaliseren kost. Maar het invullen van de tabellen vond ik erg lastig, en kon ik ook niet overal. Verder is het ook wat betreft e-depot / beheer activiteiten erg lastig om de zo uitgeplist in te vullen. Ook hier: we hebben een prima richtprijs voor wat opslag van een TB aan data kost. Maar hier speelt dan al snel de spanning tussen "gedigitaliseerd" en "digitaal gecreeerd". Dat laatste is een aspect dat hoog op de agenda staat en waar binnen Amsterdam veel aandacht voor is. Vanaf 2015 wordt er bijvoorbeeld geen archief meer op papier gecreerd. Ik denk dat het goed zou zijn om die twee kanten van het verhaal meer van elkaar te scheiden, omdat ze heel andere problematiek en oplossingen kennen. Mijn algemene gevoel bij de vragenlijst is dus vooral dat het erg uitgaat van "item" georienteerde erfgoed instellinge. En dat zijn archieven veel minder. Waarbij ik absoluuut niet wil beweren dat archieven nu zo anders zijn, maar er wordt wel anders gerekend, denk ik. Tenslotte is het goed om alternatieve vormen van selectie mee te nemen in dit onderzoek (scanning on demand bijvoorbeeld) en niet alleen een overzicht van kosten te maken, maar vooral ook van de baten. Dat geeft naar mijn mening een vollediger beeld.</t>
  </si>
  <si>
    <t>Audio-visual / broadcasting archive</t>
  </si>
  <si>
    <t>ontsluiting collecties voor algemeen publiek</t>
  </si>
  <si>
    <t>Niet zo gespecificeerd. Vraagt veel te veel werk, een archiefinstelling heeft al genoeg te doen.</t>
  </si>
  <si>
    <t>Instituut voor de creatieve industrie</t>
  </si>
  <si>
    <t>Don't show table</t>
  </si>
  <si>
    <t>Vraagstelling is erg ingewikkeld. Te ingewikkeld zelfs.</t>
  </si>
  <si>
    <t>50,000-100,000 €</t>
  </si>
  <si>
    <t>Informeren van individuele geïnteresseerden</t>
  </si>
  <si>
    <t>Europese subsidie</t>
  </si>
  <si>
    <t>Publiceren via internet zonder winstdoel voor publiek gebruik</t>
  </si>
  <si>
    <t>Veel te veel vakjargon voor kleinere  musea die op vrijwilligers draaien.Mogelijk dat deze invulling daardoor ook minder correct is.</t>
  </si>
  <si>
    <t>Archiefinstelling én Historisch Museum</t>
  </si>
  <si>
    <t>Hergebruik in professionele AV media producties</t>
  </si>
  <si>
    <t>2e versie van de survey zou van te voren (deels) automatisch kunnen ingevuld met de gegevens van de eerste survey. Dit scheelt tijd!</t>
  </si>
  <si>
    <t>museum + archief + studiecentrum</t>
  </si>
  <si>
    <t>publieke samenwerkingen</t>
  </si>
  <si>
    <t>Graag verneem ik voordat ik niet meer terug kan in de vragenlijst of ik de gegeven antwoorden kan printen/opslaan. Nu weet ik niet of ik alles zelf moet vastleggen, of niet.</t>
  </si>
  <si>
    <t>archief en museum</t>
  </si>
  <si>
    <t>afstemming en overleg</t>
  </si>
  <si>
    <t>Lastig om in te vullen, maar het scherpt wel het denken over het digitaliseren van de collecties.</t>
  </si>
  <si>
    <t>voorafgaande punten dekken het belang</t>
  </si>
  <si>
    <t>opensource API</t>
  </si>
  <si>
    <t>Kunsthistorische Documentatie</t>
  </si>
  <si>
    <t>Tja, met enquetes als deze is het altijd hetzelfde; u probeert te aggregeren om te ontkomen aan de verschillen tussen de verschillende instellingen. Dat begrijp ik wel, maar dan gaat er altijd iets verloren. En bovendien gaat u aggregeren met eigen verzonnen categorieën, die niet aansluiten bij de verslaglegging van de instelling zelf. Die heeft ook wel wat anders te doen, dus als die al de enquete invult (ik ben benieuwd naar uw non-respons, die is blijkbaar hoog genoeg om de antwoord termijn op te rekken) doet die er een gooi naar. Tel uit je winst. M.a.w. de enquete is een luie methode die werkelijk onderzoek vervangt en wat u daarmee leert is dus onvolledig, geschat, niet-representatief, en in weinig relevante categorien geordend. Kortom; gooi maar in mijn pet. Maar het gaat wel goed met uw winstcijfers?</t>
  </si>
  <si>
    <t>apparatuur, software</t>
  </si>
  <si>
    <t>herkenning ivm collectiebeheer</t>
  </si>
  <si>
    <t>uitwisseling met anderen</t>
  </si>
  <si>
    <t>40</t>
  </si>
  <si>
    <t>Tentoonstellingen</t>
  </si>
  <si>
    <t>financiering door de gemeente</t>
  </si>
  <si>
    <t>Het is momenteel zeer moeilijk om ook maar een schatting te geven. Is enigszins natte vinger werk. Wellicht kunnen een aantal voorbeelden dit verduidelijken</t>
  </si>
  <si>
    <t>Institution for performing arts</t>
  </si>
  <si>
    <t>via apps</t>
  </si>
  <si>
    <t>exposities/bruiklenen</t>
  </si>
  <si>
    <t>wat betreft digitaal depot beschikt HUA nu over een testomgeving; productieomgeving wacht nog tot 2015; intussen is er wel een stevig uitgevoerde interne omgeving maar deze voldoet nog niet aan alle geldende standaarden. Deze bevat op dit moment alleen gedigitaliseerd materiaal geen (originele) digital born stukken</t>
  </si>
  <si>
    <t>veel vragen over gedetailleerde financiële gegevens, die ik op dit moment niet allemaal tot mijn beschikking heb</t>
  </si>
  <si>
    <t>via Google</t>
  </si>
  <si>
    <t>Het erfgoed maakt deel uit van een brede universitaire collectie en dat maakt het lastig om schattingen te maken.</t>
  </si>
  <si>
    <t>vrijwilligerskosten</t>
  </si>
  <si>
    <t>diversen</t>
  </si>
  <si>
    <t>archief en speciale wetenschappelijke bibliotheek</t>
  </si>
  <si>
    <t>Ad vraag 15: locatie-gebonden erfgoed: we hebben wel een graf van iemand geadopteerd waar we ook veel archiefmateriaal van hebben. Niet meegerekend bij locatie-gebonden erfgoed. Ad 15 visuele bronnen: onder overige visuele 2d objecten verstaan wij postzegels, stickers en boekenleggers Ad 15 digitaal interactief erftoed: digitale onderzoek bestanden: in deze categorie hebben wij oral history interviews - ruw materiaal opgenomen. Ad 16: Archieven deels niet op item niveau ontslotenMet het geven van aantallen op item niveau hebben wij grote moeite, daarom niet ingevuld. Wel interessant om te weten. Wellicht op termijn een intern project.</t>
  </si>
  <si>
    <t>Het is soms onduidelijk of het nu gaat om de gehele instelling, of - in ons geval - om dat deel van de instelling dat zich met collecties en digitalisering bezig houdt. Dit betrof budget en personeelsvragen.</t>
  </si>
  <si>
    <t>samenstellen van tentooonstellingen</t>
  </si>
  <si>
    <t>een van de twee doelen is behoud bescherming van originelende beschikbaarstelling ongeacht het doel van de gebruiker is het tweede doeleen rangorde aangeven heeft geen zin</t>
  </si>
  <si>
    <t>wetenschappelijk onderzoeksinstituut</t>
  </si>
  <si>
    <t>bedrijfmatig belang</t>
  </si>
  <si>
    <t>minder jargon! In een tijd waarin men toch bijna wekelijks een survey of enquete onder ogen krijgt is tijd/snelheid een belamngrijk criterium voor welwillendheid...</t>
  </si>
  <si>
    <t>natuurwetenschappelijk en geneeskundig museum</t>
  </si>
  <si>
    <t>herkenning</t>
  </si>
  <si>
    <t>erfgoedorganisatie met 2 museua en 1 streekarchief (Rijckheyt)</t>
  </si>
  <si>
    <t>vermaak</t>
  </si>
  <si>
    <t>Bij de onderwerpen /vragen is er nu een lastige verdeling van items voor een archiefdienst, voor zover het archivalia betreft, lastige vertaling om meters archief om te zetten in digitale aantallen records of items. De verdeling is nu m.n. gericht op collectiebeheer en ontsluiting op stuksniveau, terwijl bij een archiefdienst het aantal items of records en de omvang van het archief niet in een vaste verhouding tot elkaar staan. Op veelgebruikte archiefonderdelen zijn nadere toegangen gemaakt en zijn er dus veel meer records dan items. Andere archiefonderdelen kennen een grote omvang en slechts weinig records (alleen beschrijvingen).Een verdeling van bv. de handschriften is gericht op bibliotheek of museum, bij een archief komen handschriften van verschillende categorie in 1 archief voor, zonder dat bekend is wat de verdeling is. Vragen toevoegen die specifieker voor archieven zijn, kan daarbij helpen. Dan moet het ook mogelijk zijn bepaalde vragen, die vanuit archieven niet te beantwoorden zijn. over te slaan. Nu moet er iets worden ingevuld om de enquete af te kunnen maken, ondanks dat sommige vragen niet ingevuld kunnen worden.</t>
  </si>
  <si>
    <t>E-depot</t>
  </si>
  <si>
    <t>Wij zijn bezig met het oprichten van een erfgoedsite en bijbehorende database. Dit is publiek/private samenwerking.  De fase go of no go moeten we nog passeren.</t>
  </si>
  <si>
    <t>Site museum/ Historisch Huis/ Kasteelmuseum</t>
  </si>
  <si>
    <t>website BCGI</t>
  </si>
  <si>
    <t>Botanisch museum</t>
  </si>
  <si>
    <t>behoud informatie voor de Museumfederatie en NVBT</t>
  </si>
  <si>
    <t>Minder afkortingen en meer standaard Nedelands</t>
  </si>
  <si>
    <t>Het is onhandig dat je de enquete niet tussentijds kan opslaanIk wil graag een overzicht kunnen printen van de gegevens die ik heb ingevoerd</t>
  </si>
  <si>
    <t>publieksinformatie</t>
  </si>
  <si>
    <t>Universiteit</t>
  </si>
  <si>
    <t>Museum voor kunst, kunstnijverheid, en lokale geschiedenis en archeologie</t>
  </si>
  <si>
    <t>financiele sector</t>
  </si>
  <si>
    <t>Dierentuin</t>
  </si>
  <si>
    <t>kasteelmuseum</t>
  </si>
  <si>
    <t>Beheerder van een collectie op het gebied van tijdmeetkunde</t>
  </si>
  <si>
    <t>Wij zijn zo klein dat deelname aan deze enquête niet interessant is.</t>
  </si>
  <si>
    <t>Interactief sportmuseum</t>
  </si>
  <si>
    <t>Behoud rollend historischmatrieel</t>
  </si>
  <si>
    <t>www.maritiemdigitaal.nl</t>
  </si>
  <si>
    <t>Registratiedoeleinden</t>
  </si>
  <si>
    <t>cultuur-historisch museum</t>
  </si>
  <si>
    <t>Deze enquete heeft zon fundamenteel andere invalshoek m.b.t. het toerekenenen van activiteiten aan budgetten (bv. dat gebruikersondersteuning en het beschrijven van objecten tot de digitaliseringsactiviteiten zou worden gerekend), dat het invullen ervan eigenlijk niet te doen is en weliswaar cijfers oplevert, maar dat ik er zelf geen enkele waarde aan zou durven toekennen.</t>
  </si>
  <si>
    <t>sneller en beter toegankelijk</t>
  </si>
  <si>
    <t>Uitgebreide vragen over kosten en percentages worden niet beantwoord, want dat is interne (gevoelige) bedrijfsinformatie.</t>
  </si>
  <si>
    <t>Private Museum</t>
  </si>
  <si>
    <t>wij staan nog in de zeer prille kinderschoenen op dit gebied, daardoor zijn veel antwoorden een schatting. We realiseren ons dat we nog een lange weg te gaan hebben.... Het zou wel handig zijn als de vragen en dan met name de technische termen iets beter worden verklaard. Ik hoop dat onze bijdrage enige waarde toevoegt aan dit project.</t>
  </si>
  <si>
    <t>Bedrijfscollectie</t>
  </si>
  <si>
    <t>versterken bedrijfsimago door erfgoed en kunst voor een breed publiek zo goed mogelijk beschikbaar te stellen</t>
  </si>
  <si>
    <t>archeologische dienst gemeente met depotfunctie</t>
  </si>
  <si>
    <t>Graag de mogelijkheid om het ingevulde formulier te downloaden, zodat de antwoorden op de enquête ook intern geraadpleegd kunnen worden, bijvoorbeeld voor toekomstige enquêtes. Het is een goed evaluatiemoment.</t>
  </si>
  <si>
    <t>Wij zijn er hier nog niet goed uit, de discussie loopt maar maakt het lastig om alles goed te beantwoorden.</t>
  </si>
  <si>
    <t>Archief en Bibliotheek</t>
  </si>
  <si>
    <t>Het Nederlands Muziek Instituut zal de komende jaren worden samengevoegd met het met het Haags Gemeentearchief (HGA). Het NMI werd tot 1 januari 2013 gefinancierd met subsidie van de Gemeente Den Haag en het Rijk. De rijkssubsidie vervalt echter per 1 januari 2013. Voor het NMI betekent dit 60 procent minder subsidie.Ondanks de forse beperking van de overheidssteun hoopt het NMI in de samenwerking met het HGA nog zoveel mogelijk van zijn doelstellingen te kunnen verwezenlijken. Er zal worden samengewerkt op het gebied van digitale ontsluiting van de collecties en op termijn in de dienstverlening aan het publiek. Het hele samenvoegingstraject zal nog tot en met 2015 duren.</t>
  </si>
  <si>
    <t>Kunst- en historisch museum</t>
  </si>
  <si>
    <t>Het zou erg prettig werken (en tijd schelen) wanneer de beantwoorde vragen  automatisch blijven bewaard wanneer men vóór voltooiing van de gehele enquête de vragenlijst afsluit om op een later stadium verder te kunnen gaan. Het zou tevens erg prettig werken (en tijd schelen) als men een overzicht heeft van de vragen die komen, omdat niet alle vragen door dezelfde persoon beantwoord kunnen worden; er moeten gegevens bij andere collegas opgevraagd worden en deze collega's hebben niet altijd tijd of zijn niet aanwezig op hetzelfde moment. Het zou fijn zijn als de vragen alvast bekend zijn, zodat er een beter voorbereiding getroffen kan worden om de enquête snel te voltooien. Sommige gebruikte termen in de vragen zijn niet dekkend genoeg voor de aard van de collectie waarover de vragen gesteld worden; hierdoor kan er geen volledig antwoord worden gegeven en ontstaat er wellicht een scheef beeld.</t>
  </si>
  <si>
    <t>virtueel samenbrengen van collecties die fysiek over meerdere instellingen verdeeld zijn</t>
  </si>
  <si>
    <t>De tabellen zijn moeilijk in te vullen, omdat de formuleringen voor de invuller door elkaar gaan lopen (onderscheid tussen de verschillende categorieën is lastig consequent aan te houden). Vandaar dat deze tabellen niet door mij zijn ingevuld. Misschien is het beter deze tabellen op een overzichtelijker manier aan te bieden, waardoor men steeds in feite maar één vraag per item hoeft te beantwoorden. Dan kan men focussen op de vraagstelling.</t>
  </si>
  <si>
    <t>exposities</t>
  </si>
  <si>
    <t>Wij zijn een museum en digitaliseren in principe voor eigen gebruik. In de toekomst zetten wij de digitale collectie misschien op de website.</t>
  </si>
  <si>
    <t>Ik kan er niet veel mee zo ver zijn wij nog lang niet.</t>
  </si>
  <si>
    <t>Adlib</t>
  </si>
  <si>
    <t>vereniging voor historisch onderzoek met tot in 2012 een museum voor de collecti</t>
  </si>
  <si>
    <t>Ik stop per 1-1-2014 als secretaris na 1,5 jaar, omdat de situatie erg problematisch is (museum freriks in Winterswijk gesloten per half 2012) en er alleen moet worden gewerkt met vrijwilligers. Er wordt geprobeerd de collectie van VHM in Adlib op te nemen, maar die klus sleept zich al jaren voort. Ik weet ook niet of ik alles correct heb beantwoord, want er is voor mij geen goed overzicht te krijgen</t>
  </si>
  <si>
    <t>lijkt me een redelijk onderzoek</t>
  </si>
  <si>
    <t>Opzet is prima zo...</t>
  </si>
  <si>
    <t>bedrijfsarchief bank</t>
  </si>
  <si>
    <t>gebruik voor publicaties, presentaties enz.</t>
  </si>
  <si>
    <t>Bedrijfsarchief en bibliotheek</t>
  </si>
  <si>
    <t>Exposities/Bruiklenen</t>
  </si>
  <si>
    <t>Vragen zijn erg lastig te beantwoorden. Kost veel tijd. Sommige begrippen zouden uitgelegd moeten worden.</t>
  </si>
  <si>
    <t>botanische tuin/streekmuseum</t>
  </si>
  <si>
    <t>presentatie-instelling met bibliotheek en archief</t>
  </si>
  <si>
    <t>Graag de eedre ingevulde enquetes laten ziendank</t>
  </si>
  <si>
    <t>Categoraal documentatiecentrum (archief-bibliotheek-AVmateriaal)</t>
  </si>
  <si>
    <t>Respondent</t>
  </si>
  <si>
    <t>Recode domain</t>
  </si>
  <si>
    <t>2. Type / Domain of institution / organisation Specify the primary heading you would assign to your institution.</t>
  </si>
  <si>
    <t>3. Country in which your institution is located</t>
  </si>
  <si>
    <t>9. What is your institution's total annual budget? Provide the annual budget for the entire cultural heritage institution as indicated in the last published annual account. If your institution is part of a larger organisation (e.g. a higher education</t>
  </si>
  <si>
    <t>10. Total number of paid staff (in *full time equivalents*, not in number of people) The number of *full time equivalents* should represent the total staff employed by your institution, including permanent and temporary staff, but excluding contracto</t>
  </si>
  <si>
    <t>SECTION 2/7: Digitisation Activity11. Does your institution have *collections* that need to be preserved for future generations? Answer this question with 'No' if your institution does not hold heritage collections or if you only have collections (fo</t>
  </si>
  <si>
    <t>12. Does your organisation have *digital collections* or is it currently involved in collection *digitisation* activities?</t>
  </si>
  <si>
    <t>13. Does your organisation have a *written digitisation strategy*, endorsed by the management of your organisation? The strategy may be for any period up to 2020.</t>
  </si>
  <si>
    <t>14. Does your organisation collect *born digital heritage*? Answer this question with ´yes´ if your institution collects any kind of *born digital heritage* materials (i.e. software, digital documents, digital art, harvested web content, etc.) with t</t>
  </si>
  <si>
    <t>TEXT BASED RESOURCES(Rare printed books, Other printed books, Electronic books (eBooks), Newspap</t>
  </si>
  <si>
    <t>VISUAL (2D) RESOURCES(Drawings, Engravings / Prints, Maps and ground plans, Paintings, Photograp</t>
  </si>
  <si>
    <t>ARCHIVAL RESOURCES (not included in 01 or 02)(Archives : Government documents, Archives : Other</t>
  </si>
  <si>
    <t>3D MAN-MADE MOVABLE OBJECTS(3 Dimensional works of art, Archaeologic Furnishings and Equipment,</t>
  </si>
  <si>
    <t>NATURAL RESOURCES(Natural inert specimens, Natural living specimens)</t>
  </si>
  <si>
    <t>GEOGRAPHY BASED RESOURCES(Monuments and buildings, Landscapes, Archeological sites, Other geogra</t>
  </si>
  <si>
    <t>TIME BASED RESOURCES(Audio files: Music, Audio files: Speech &amp; other (excl. digital audio books;</t>
  </si>
  <si>
    <t>DIGITAL INTERACTIVE RESOURCES (EXCLUSIVELY DIGITAL)(Databases (containing cultural heritage meta</t>
  </si>
  <si>
    <t>Rare printed books in analogue collection</t>
  </si>
  <si>
    <t xml:space="preserve"> in digital collection</t>
  </si>
  <si>
    <t xml:space="preserve"> not applicable</t>
  </si>
  <si>
    <t>Other printed books in analogue collection</t>
  </si>
  <si>
    <t>Electronic books (eBooks) in analogue collection</t>
  </si>
  <si>
    <t>Newspapers in analogue collection</t>
  </si>
  <si>
    <t>Journals in analogue collection</t>
  </si>
  <si>
    <t>Other serials in analogue collection</t>
  </si>
  <si>
    <t>Medieval Manuscripts in analogue collection</t>
  </si>
  <si>
    <t>Other Manuscripts in analogue collection</t>
  </si>
  <si>
    <t>Microforms and microfilms in analogue collection</t>
  </si>
  <si>
    <t>Other text based in analogue collection</t>
  </si>
  <si>
    <t>Drawings in analogue collection</t>
  </si>
  <si>
    <t>Engravings / Prints in analogue collection</t>
  </si>
  <si>
    <t>Maps and ground plans in analogue collection</t>
  </si>
  <si>
    <t>Paintings in analogue collection</t>
  </si>
  <si>
    <t>Photographs in analogue collection</t>
  </si>
  <si>
    <t>Posters in analogue collection</t>
  </si>
  <si>
    <t>Sheet music in analogue collection</t>
  </si>
  <si>
    <t>Other visual resources in analogue collection</t>
  </si>
  <si>
    <t>Archives : Government documents in analogue collection</t>
  </si>
  <si>
    <t>Archives : Other archival records in analogue collection</t>
  </si>
  <si>
    <t>3 Dimensional works of art in analogue collection</t>
  </si>
  <si>
    <t>Archaeologic Furnishings and Equipment in analogue collection</t>
  </si>
  <si>
    <t>Other Furnishings and Equipment in analogue collection</t>
  </si>
  <si>
    <t>Coins and medals in analogue collection</t>
  </si>
  <si>
    <t>Other 3 dimensional man-made objects in analogue collection</t>
  </si>
  <si>
    <t>Natural inert specimens in analogue collection</t>
  </si>
  <si>
    <t>Natural living specimens in analogue collection</t>
  </si>
  <si>
    <t>Monuments and buildings in analogue collection</t>
  </si>
  <si>
    <t>Landscapes in analogue collection</t>
  </si>
  <si>
    <t>Archeological sites in analogue collection</t>
  </si>
  <si>
    <t>Other geography based resources in analogue collection</t>
  </si>
  <si>
    <t>Audio files: Music in analogue collection</t>
  </si>
  <si>
    <t>Audio files: Speech &amp; other (excl. digital audio books; incl. oral history files) in analogue collection</t>
  </si>
  <si>
    <t>Digital audio books in analogue collection</t>
  </si>
  <si>
    <t>Film in analogue collection</t>
  </si>
  <si>
    <t>Video recordings in analogue collection</t>
  </si>
  <si>
    <t>Other time based resources in analogue collection</t>
  </si>
  <si>
    <t>Databases (containing cultural heritage metadata) in analogue collection</t>
  </si>
  <si>
    <t>Digital (3D) designs or reconstructions of objects and buildings in analogue collection</t>
  </si>
  <si>
    <t>Born-digital art objects in analogue collection</t>
  </si>
  <si>
    <t>Digital research files (incl. GIS files) in analogue collection</t>
  </si>
  <si>
    <t>Games in analogue collection</t>
  </si>
  <si>
    <t>Software (customised) in analogue collection</t>
  </si>
  <si>
    <t>Websites (and parts of websites) in analogue collection</t>
  </si>
  <si>
    <t>Other born-digital interactive resources in analogue collection</t>
  </si>
  <si>
    <t>16 Estimate the percentage of your entire heritage collections that has been catalogued in a collection database| %</t>
  </si>
  <si>
    <t>17 Estimate the percentage of your analogue heritage collections that has already been digitally reproduced:| %</t>
  </si>
  <si>
    <t>18 Estimate the percentage of your analogue heritage collections that still needs to be digitally reproduced: | %</t>
  </si>
  <si>
    <t>Tests have indicated that answering the questions about the size of collections are rewarding, but may be challenging. Some institutions will want to be more specific than is possible here; others may find it difficult to give even the high level est</t>
  </si>
  <si>
    <t>Rare printed books   records</t>
  </si>
  <si>
    <t>Rare printed books  | volumes</t>
  </si>
  <si>
    <t>Other printed books   records</t>
  </si>
  <si>
    <t>Other printed books  | volumes</t>
  </si>
  <si>
    <t>Electronic books (eBooks)   records</t>
  </si>
  <si>
    <t>Electronic books (eBooks)  | volumes</t>
  </si>
  <si>
    <t>Newspapers   records</t>
  </si>
  <si>
    <t>Newspapers  | issues</t>
  </si>
  <si>
    <t>Journals   records</t>
  </si>
  <si>
    <t>Journals  | issues</t>
  </si>
  <si>
    <t>Other serials   records</t>
  </si>
  <si>
    <t>Other serials  | issues</t>
  </si>
  <si>
    <t>Medieval Manuscripts   records</t>
  </si>
  <si>
    <t>Medieval Manuscripts  | items</t>
  </si>
  <si>
    <t>Other Manuscripts   records</t>
  </si>
  <si>
    <t>Other Manuscripts  | items</t>
  </si>
  <si>
    <t>Microforms and microfilms   records</t>
  </si>
  <si>
    <t>Microforms and microfilms  | items</t>
  </si>
  <si>
    <t>Other text based   records</t>
  </si>
  <si>
    <t>Other text based  | items</t>
  </si>
  <si>
    <t>Rare printed books  |n.a.</t>
  </si>
  <si>
    <t>|n.a.</t>
  </si>
  <si>
    <t>Medieval Manuscripts  |n.a.</t>
  </si>
  <si>
    <t>Microforms and microfilms  |n.a.</t>
  </si>
  <si>
    <t>Rare printed books  | %</t>
  </si>
  <si>
    <t>Other printed books  | %</t>
  </si>
  <si>
    <t>Electronic books (eBooks)  | %</t>
  </si>
  <si>
    <t>Newspapers  | %</t>
  </si>
  <si>
    <t>Journals  | %</t>
  </si>
  <si>
    <t>Other serials  | %</t>
  </si>
  <si>
    <t>Medieval Manuscripts  | %</t>
  </si>
  <si>
    <t>Other Manuscripts  | %</t>
  </si>
  <si>
    <t>Microforms and microfilms  | %</t>
  </si>
  <si>
    <t>Other text based  | %</t>
  </si>
  <si>
    <t>Drawings   records</t>
  </si>
  <si>
    <t>Engravings / Prints   records</t>
  </si>
  <si>
    <t>Maps and ground plans   records</t>
  </si>
  <si>
    <t>Paintings   records</t>
  </si>
  <si>
    <t>Photographs   records</t>
  </si>
  <si>
    <t>Posters   records</t>
  </si>
  <si>
    <t>Sheet music   records</t>
  </si>
  <si>
    <t>Other visual resources   records</t>
  </si>
  <si>
    <t>Drawings  | items</t>
  </si>
  <si>
    <t>Engravings / Prints  | items</t>
  </si>
  <si>
    <t>Maps and ground plans  | items</t>
  </si>
  <si>
    <t>Paintings  | items</t>
  </si>
  <si>
    <t>Photographs  | items</t>
  </si>
  <si>
    <t>Posters  | items</t>
  </si>
  <si>
    <t>Sheet music  | items</t>
  </si>
  <si>
    <t>Other visual resources  | items</t>
  </si>
  <si>
    <t>Engravings / Prints  |n.a.</t>
  </si>
  <si>
    <t>Drawings  | %</t>
  </si>
  <si>
    <t>Engravings / Prints  | %</t>
  </si>
  <si>
    <t>Maps and ground plans  | %</t>
  </si>
  <si>
    <t>Paintings  | %</t>
  </si>
  <si>
    <t>Photographs  | %</t>
  </si>
  <si>
    <t>Posters  | %</t>
  </si>
  <si>
    <t>Sheet music  | %</t>
  </si>
  <si>
    <t>Other visual resources  | %</t>
  </si>
  <si>
    <t>Archives : Government documents   records</t>
  </si>
  <si>
    <t>Archives : Government archives    records</t>
  </si>
  <si>
    <t>Archives : Other archival records    records</t>
  </si>
  <si>
    <t>Archives : Other archives    records</t>
  </si>
  <si>
    <t>Archives : Government documents  | metres</t>
  </si>
  <si>
    <t>Archives : Government archives   | archives</t>
  </si>
  <si>
    <t>Archives : Other archival records   | metres</t>
  </si>
  <si>
    <t>Archives : Other archives   | archives</t>
  </si>
  <si>
    <t>Archives : Government documents  | items</t>
  </si>
  <si>
    <t>Archives : Other archival records   | items</t>
  </si>
  <si>
    <t>Archives : Government documents  | %</t>
  </si>
  <si>
    <t>Archives : Government archives   | %</t>
  </si>
  <si>
    <t>Archives : Other archival records   | %</t>
  </si>
  <si>
    <t>Archives : Other archives   | %</t>
  </si>
  <si>
    <t>3 Dimensional works of art   records</t>
  </si>
  <si>
    <t>Archaeologic Furnishings and Equipment   records</t>
  </si>
  <si>
    <t>Other Furnishings and Equipment   records</t>
  </si>
  <si>
    <t>Coins and medals   records</t>
  </si>
  <si>
    <t>Other 3 dimensional man-made objects   records</t>
  </si>
  <si>
    <t>3 Dimensional works of art  | items</t>
  </si>
  <si>
    <t>Archaeologic Furnishings and Equipment  | items</t>
  </si>
  <si>
    <t>Other Furnishings and Equipment  | items</t>
  </si>
  <si>
    <t>Coins and medals  | items</t>
  </si>
  <si>
    <t>Other 3 dimensional man-made objects  | items</t>
  </si>
  <si>
    <t>3 Dimensional works of art  | %</t>
  </si>
  <si>
    <t>Archaeologic Furnishings and Equipment  | %</t>
  </si>
  <si>
    <t>Other Furnishings and Equipment  | %</t>
  </si>
  <si>
    <t>Coins and medals  | %</t>
  </si>
  <si>
    <t>Other 3 dimensional man-made objects  | %</t>
  </si>
  <si>
    <t>Natural inert specimens   records</t>
  </si>
  <si>
    <t>Natural living specimens    records</t>
  </si>
  <si>
    <t>Natural inert specimens  | items</t>
  </si>
  <si>
    <t>Natural living specimens   | items</t>
  </si>
  <si>
    <t>Natural inert specimens  | %</t>
  </si>
  <si>
    <t>Natural living specimens   | %</t>
  </si>
  <si>
    <t>Monuments and buildings   records</t>
  </si>
  <si>
    <t>Landscapes   records</t>
  </si>
  <si>
    <t>Archeological sites   records</t>
  </si>
  <si>
    <t>Other geography based resources   records</t>
  </si>
  <si>
    <t>Monuments and buildings  | %</t>
  </si>
  <si>
    <t>Landscapes  | %</t>
  </si>
  <si>
    <t>Archeological sites  | %</t>
  </si>
  <si>
    <t>Other geography based resources  | %</t>
  </si>
  <si>
    <t>Monuments and buildings  | items</t>
  </si>
  <si>
    <t>Landscapes  | landscapes</t>
  </si>
  <si>
    <t>Archeological sites  | sites</t>
  </si>
  <si>
    <t>Other geography based resources  | items</t>
  </si>
  <si>
    <t>Audio files: Music   records</t>
  </si>
  <si>
    <t>Audio files: Speech &amp; other   records</t>
  </si>
  <si>
    <t>Digital audio books   records</t>
  </si>
  <si>
    <t>Film   records</t>
  </si>
  <si>
    <t>Video recordings   records</t>
  </si>
  <si>
    <t>Other time based resources   records</t>
  </si>
  <si>
    <t>Audio files: Music  | hours</t>
  </si>
  <si>
    <t>Audio files: Speech &amp; other  | hours</t>
  </si>
  <si>
    <t>Digital audio books  | volumes</t>
  </si>
  <si>
    <t>Film  | hours</t>
  </si>
  <si>
    <t>Video recordings  | hours</t>
  </si>
  <si>
    <t>Other time based resources  | items</t>
  </si>
  <si>
    <t>Databases (containing cultural heritage metadata)   records</t>
  </si>
  <si>
    <t>Digital (3D) designs or reconstructions of objects and buildings   records</t>
  </si>
  <si>
    <t>Born-digital art objects   records</t>
  </si>
  <si>
    <t>Digital research files (incl. GIS files)   records</t>
  </si>
  <si>
    <t>Games   records</t>
  </si>
  <si>
    <t>Software (customised)   records</t>
  </si>
  <si>
    <t>Other born-digital interactive resources   records</t>
  </si>
  <si>
    <t>Websites (and parts of websites)   records</t>
  </si>
  <si>
    <t>Databases (containing cultural heritage metadata)  | items</t>
  </si>
  <si>
    <t>Digital (3D) designs or reconstructions of objects and buildings  | items</t>
  </si>
  <si>
    <t>Born-digital art objects  | items</t>
  </si>
  <si>
    <t>Digital research files (incl. GIS files)  | items</t>
  </si>
  <si>
    <t>Games  | items</t>
  </si>
  <si>
    <t>Software (customised)  | items</t>
  </si>
  <si>
    <t>Websites (and parts of websites)  | items</t>
  </si>
  <si>
    <t>Other born-digital interactive resources  | items</t>
  </si>
  <si>
    <t>Audio files: Music  | %</t>
  </si>
  <si>
    <t>Audio files: Speech &amp; other  | %</t>
  </si>
  <si>
    <t>Digital audio books  | %</t>
  </si>
  <si>
    <t>Film  | %</t>
  </si>
  <si>
    <t>Video recordings  | %</t>
  </si>
  <si>
    <t>Other time based resources  | %</t>
  </si>
  <si>
    <t>Academic research</t>
  </si>
  <si>
    <t>Creative reuse/Remix</t>
  </si>
  <si>
    <t>Educational use</t>
  </si>
  <si>
    <t>Ideological, religious and commemorative use</t>
  </si>
  <si>
    <t>Personal enjoyment</t>
  </si>
  <si>
    <t>Reducing the use of the physical originals</t>
  </si>
  <si>
    <t>Sales, commercial licencing</t>
  </si>
  <si>
    <t>Other types of use (specify below)</t>
  </si>
  <si>
    <t>V019t_TXT</t>
  </si>
  <si>
    <t>20. Does your organisation have an explicit (written) policy, endorsed by the management of your organisation, that sets conditions for specific types of use of your digital heritage collections, as specified for instance in the previous question? An</t>
  </si>
  <si>
    <t>21. Does your organisation measure the number of times digital metadata and/or digital objects are being accessed by your users? In order to be able to answer this question with 'yes' any manner of measurement will suffice.</t>
  </si>
  <si>
    <t>*Website statistics*</t>
  </si>
  <si>
    <t>*Social media statistics* (e.g. Facebook, Flickr, Youtube, Wikipedia)</t>
  </si>
  <si>
    <t>*Database statistics* (if not included in Website statistics and Social media statistics )</t>
  </si>
  <si>
    <t>*User studies*</t>
  </si>
  <si>
    <t>Other:</t>
  </si>
  <si>
    <t>*Offline* | %</t>
  </si>
  <si>
    <t>*Institutional website* | %</t>
  </si>
  <si>
    <t>*National aggregator* | %</t>
  </si>
  <si>
    <t>*Europeana* | %</t>
  </si>
  <si>
    <t>*Other aggregator* | %</t>
  </si>
  <si>
    <t>*Wikipedia* | %</t>
  </si>
  <si>
    <t>Other *Social media platforms* like Flickr, Youtube, Facebook | %</t>
  </si>
  <si>
    <t>Institutional *API* | %</t>
  </si>
  <si>
    <t>3rd party *API* | %</t>
  </si>
  <si>
    <t>Other Access channels (specify below) | %</t>
  </si>
  <si>
    <t>*Offline*   % 2 years from now</t>
  </si>
  <si>
    <t>*Institutional website*   % 2 years from now</t>
  </si>
  <si>
    <t>*National aggregator*   % 2 years from now</t>
  </si>
  <si>
    <t>*Europeana*   % 2 years from now</t>
  </si>
  <si>
    <t>*Other aggregator*   % 2 years from now</t>
  </si>
  <si>
    <t>*Wikipedia*   % 2 years from now</t>
  </si>
  <si>
    <t>Other *Social media platforms* like Flickr, Youtube, Facebook   % 2 years from now</t>
  </si>
  <si>
    <t>Institutional *API*   % 2 years from now</t>
  </si>
  <si>
    <t>3rd party *API*   % 2 years from now</t>
  </si>
  <si>
    <t>Other Access channels (specify below)   % 2 years from now</t>
  </si>
  <si>
    <t>V023t</t>
  </si>
  <si>
    <t>SECTION 4/7. Digital Preservation24. Does your organisation have a *written Digital Preservation Strategy*, that is endorsed by the management of your organisation? The answer of this question will be 'yes' when your institution has a formal document</t>
  </si>
  <si>
    <t>25. Are your digital collections stored in digital archives that have been set up according to *international standards* for *digital preservation*? Answer this question with 'yes' if your institution is actively involved in safeguarding the digital</t>
  </si>
  <si>
    <t>Institutional expenditure (internal budget): | €</t>
  </si>
  <si>
    <t>Temporary funded project expenditure (external budget): | €</t>
  </si>
  <si>
    <t>the year concerned:</t>
  </si>
  <si>
    <t>Incidental costs: | %</t>
  </si>
  <si>
    <t>Structural costs: | %</t>
  </si>
  <si>
    <t>In-house  costs: | %</t>
  </si>
  <si>
    <t>Outsourced costs: | %</t>
  </si>
  <si>
    <t>The community of libraries, archives and museums would benefit from a better understanding of the costs involved in creating and preserving digital collections. Please help us by providing a more detailed estimate of your costs .</t>
  </si>
  <si>
    <t>Project management  | %</t>
  </si>
  <si>
    <t>Selection of material for digitisation  | %</t>
  </si>
  <si>
    <t>Acquisition of digital born material  | %</t>
  </si>
  <si>
    <t>Logistics (shipment of collection for digitisation, etc.)  | %</t>
  </si>
  <si>
    <t>Analogue to digital conversion   | %</t>
  </si>
  <si>
    <t>Copyright clearance  | %</t>
  </si>
  <si>
    <t>Metadata creation  | %</t>
  </si>
  <si>
    <t>Web design, software development  | %</t>
  </si>
  <si>
    <t>Other costs (specify below)  | %</t>
  </si>
  <si>
    <t>(including all technical and staff costs associated with the act of preparing materials for scanning, the scanning itself, and quality control)I. Please estimate what percentages of the *Incidental costs* can be assigned to the following activities:</t>
  </si>
  <si>
    <t>Management | %</t>
  </si>
  <si>
    <t>Archiving (storage, including backups) | %</t>
  </si>
  <si>
    <t>Activities concerning the long-term preservation of the digital collection (including research activities but excluding Archiving costs) | %</t>
  </si>
  <si>
    <t>Licences | %</t>
  </si>
  <si>
    <t>Maintenance of webservers and web, mobile and other services | %</t>
  </si>
  <si>
    <t>User outreach and support (including staff time for efforts to promote the use of the digital collections) | %</t>
  </si>
  <si>
    <t>Usage analysis (including user surveys, interviews, and other activities) | %</t>
  </si>
  <si>
    <t>Editorial (including content selection and updating) | %</t>
  </si>
  <si>
    <t>Other costs (specify below) | %</t>
  </si>
  <si>
    <t>II. Please estimate what percentages of the *Structural costs* can be assigned to the following activities:  The sum total adds up to 100%. Enter 0 if a cost item is not applicable. If you miss any items in the table, please help us and mention these</t>
  </si>
  <si>
    <t>29. What is the total number of paid staff (in full-time equivalent) engaged in creating/acquiring, maintaining, enhancing and preserving your *digital collections* on an annual basis? Include the time of your own institution's staff engaged in activ</t>
  </si>
  <si>
    <t>30. What is the total number of volunteers (in full-time equivalent) engaged in creating/acquiring, maintaining, enhancing and preserving your *digital collections* on an annual basis? Include the time of your institution's unpaid staff.  Volunteers</t>
  </si>
  <si>
    <t>*Internal budgets*</t>
  </si>
  <si>
    <t>*Crowdfunding*</t>
  </si>
  <si>
    <t>*National Public grant/subsidy*</t>
  </si>
  <si>
    <t>*Regional/Local Public grant/subsidy*</t>
  </si>
  <si>
    <t>*Private funds and legacies*</t>
  </si>
  <si>
    <t>*Public/private partnership*</t>
  </si>
  <si>
    <t>*Sales of digital items*</t>
  </si>
  <si>
    <t>SECTION 6/7. General Notes 32. Please include any information that was not asked for above and that you think is relevant for understanding the nature of activities related to your digital collections. Comments on the questionnaire itself can be give</t>
  </si>
  <si>
    <t>SECTION 7/7. Questionnaire Evaluation 33. Please include any comments that would help us to improve future issues of this survey.</t>
  </si>
  <si>
    <t>Q1: Naam van de instelling / organisatie</t>
  </si>
  <si>
    <t>Q2: Type/Domein van uw instelling of organisatie</t>
  </si>
  <si>
    <t>Q3: Land waar de instelling zich bevindt (= NL)</t>
  </si>
  <si>
    <t>Q4: Website van de instelling</t>
  </si>
  <si>
    <t>Q5: Uw naam</t>
  </si>
  <si>
    <t>Specific</t>
  </si>
  <si>
    <t>Generic</t>
  </si>
  <si>
    <t>Q3 = Netherlands (N = 143)</t>
  </si>
  <si>
    <t>Other type of institution</t>
  </si>
  <si>
    <t>Type instelling</t>
  </si>
  <si>
    <t>Audio-visueel archief</t>
  </si>
  <si>
    <t>Filminstituut</t>
  </si>
  <si>
    <t>Instituut voor podiumkunsten</t>
  </si>
  <si>
    <t>Speciale bibliotheek</t>
  </si>
  <si>
    <t>Monumentenzorg</t>
  </si>
  <si>
    <t>Openbare bibliotheek</t>
  </si>
  <si>
    <t>Volkenkundig museum</t>
  </si>
  <si>
    <t>Hoger onderwijs bibliotheek</t>
  </si>
  <si>
    <t>Natuurhistorische museum</t>
  </si>
  <si>
    <t>Techniekmuseum</t>
  </si>
  <si>
    <t>Kunstmuseum</t>
  </si>
  <si>
    <t>Overig</t>
  </si>
  <si>
    <t>Historisch museum</t>
  </si>
  <si>
    <t>Archiefinstelling</t>
  </si>
  <si>
    <t>Bibliotheek</t>
  </si>
  <si>
    <t>Aantal</t>
  </si>
  <si>
    <t>Q6: Uw functie</t>
  </si>
  <si>
    <t>Q7: Uw e-mailadres</t>
  </si>
  <si>
    <t>Q8: Uw telefoonnr, skype of contactgegevens</t>
  </si>
  <si>
    <t xml:space="preserve">Q1, 4-8: ivm anonimisering niet bekend. </t>
  </si>
  <si>
    <t>Q9: Wat is het totale jaarlijkse budget van uw instelling?</t>
  </si>
  <si>
    <t>Budget</t>
  </si>
  <si>
    <t>Totaalbudget alle respondenten</t>
  </si>
  <si>
    <t>Gemiddeld budget</t>
  </si>
  <si>
    <t>Mediaan</t>
  </si>
  <si>
    <t>Genormaliseerd</t>
  </si>
  <si>
    <t>Mediaan (= recordnr. 71)</t>
  </si>
  <si>
    <t>Q10: Het totale aantal betaalde medewerkers bij uw instelling (in *full time equivalenten (FTE)*, niet in het aantal mensen)</t>
  </si>
  <si>
    <t>Recode NL</t>
  </si>
  <si>
    <t>Musea</t>
  </si>
  <si>
    <t>Bibliotheken</t>
  </si>
  <si>
    <t>Archieven</t>
  </si>
  <si>
    <t>Personeel:</t>
  </si>
  <si>
    <t>Aantal medew.</t>
  </si>
  <si>
    <t>Gemiddeld</t>
  </si>
  <si>
    <t>Totaal</t>
  </si>
  <si>
    <t>Overig (n = 6)</t>
  </si>
  <si>
    <t>Aantal medewerkers</t>
  </si>
  <si>
    <t xml:space="preserve"> 0</t>
  </si>
  <si>
    <t xml:space="preserve"> 1-5</t>
  </si>
  <si>
    <t xml:space="preserve"> 6-25</t>
  </si>
  <si>
    <t>26-50</t>
  </si>
  <si>
    <t>51-100</t>
  </si>
  <si>
    <t>101-200</t>
  </si>
  <si>
    <t>&gt; 200</t>
  </si>
  <si>
    <t xml:space="preserve"> --</t>
  </si>
  <si>
    <t>Gemiddeld aantal personeel</t>
  </si>
  <si>
    <t>gem. 2012 (n=88)</t>
  </si>
  <si>
    <t>gem.</t>
  </si>
  <si>
    <t>Correlatie budget en personeel</t>
  </si>
  <si>
    <t>budget</t>
  </si>
  <si>
    <t>aantal fte</t>
  </si>
  <si>
    <t>75.000 (n=6)</t>
  </si>
  <si>
    <t>5.000.000 (n=47)</t>
  </si>
  <si>
    <t>30.000 (n=11)</t>
  </si>
  <si>
    <t>N=133</t>
  </si>
  <si>
    <t>N=143</t>
  </si>
  <si>
    <t xml:space="preserve">Q12: Bezit uw instelling digitale collecties of is zij momenteel betrokken bij activiteiten op het gebied van digitalisering? </t>
  </si>
  <si>
    <t>Q11 (= controlevraag)</t>
  </si>
  <si>
    <t>Q12</t>
  </si>
  <si>
    <t>N=141</t>
  </si>
  <si>
    <t>Ja</t>
  </si>
  <si>
    <t>Nee</t>
  </si>
  <si>
    <t>Type</t>
  </si>
  <si>
    <t>Fte</t>
  </si>
  <si>
    <t>Norm</t>
  </si>
  <si>
    <t>FTE</t>
  </si>
  <si>
    <t>N=131</t>
  </si>
  <si>
    <t>Archieven (n = 35)</t>
  </si>
  <si>
    <t>Bibliotheken (n=6)</t>
  </si>
  <si>
    <t>n=131</t>
  </si>
  <si>
    <t>Musea (n = 84)</t>
  </si>
  <si>
    <t>750.000 (n=9)</t>
  </si>
  <si>
    <t>300.000 (n=44)</t>
  </si>
  <si>
    <t>N.B. De data van 12 instellingen zijn niet meegenomen ivm twijfelachtige data door verkeerd begrip van de vraagstelling (bijv. UB geeft aantal Fte van hele universiteit)</t>
  </si>
  <si>
    <t>Gemiddelde</t>
  </si>
  <si>
    <t>&gt;10.000.000 (n=8)</t>
  </si>
  <si>
    <t>Bewaar</t>
  </si>
  <si>
    <t>Digi</t>
  </si>
  <si>
    <t>Beleid</t>
  </si>
  <si>
    <t>Weet niet</t>
  </si>
  <si>
    <t>ja</t>
  </si>
  <si>
    <t>nee</t>
  </si>
  <si>
    <t>weet niet</t>
  </si>
  <si>
    <t>N=137</t>
  </si>
  <si>
    <t>Born digital</t>
  </si>
  <si>
    <t>Q14: Verzamelt uw instelling born digital erfgoed?</t>
  </si>
  <si>
    <t xml:space="preserve">DIGITAL INTERACTIVE RESOURCES </t>
  </si>
  <si>
    <t>34/38</t>
  </si>
  <si>
    <t>Tekstuele bronnen</t>
  </si>
  <si>
    <t>Beeldmateriaal (2D)</t>
  </si>
  <si>
    <t>Archiefmateriaal</t>
  </si>
  <si>
    <t>Natuurlijke specimina</t>
  </si>
  <si>
    <t>Audiovisueel ('time based')</t>
  </si>
  <si>
    <t>Digitale/interactieve bronnen</t>
  </si>
  <si>
    <t>3D Artefacten</t>
  </si>
  <si>
    <t>38/38</t>
  </si>
  <si>
    <t>36/38</t>
  </si>
  <si>
    <t>15/38</t>
  </si>
  <si>
    <t>1/38</t>
  </si>
  <si>
    <t>4/38</t>
  </si>
  <si>
    <t xml:space="preserve"> </t>
  </si>
  <si>
    <t>26/38</t>
  </si>
  <si>
    <t>20/38</t>
  </si>
  <si>
    <t>8/8</t>
  </si>
  <si>
    <t>7/8</t>
  </si>
  <si>
    <t>6/8</t>
  </si>
  <si>
    <t>3/8</t>
  </si>
  <si>
    <t>0/8</t>
  </si>
  <si>
    <t>2/8</t>
  </si>
  <si>
    <t>5/8</t>
  </si>
  <si>
    <t>68/87</t>
  </si>
  <si>
    <t>79/87</t>
  </si>
  <si>
    <t>49/87</t>
  </si>
  <si>
    <t>71/87</t>
  </si>
  <si>
    <t>18/87</t>
  </si>
  <si>
    <t>33/87</t>
  </si>
  <si>
    <t>46/87</t>
  </si>
  <si>
    <t>38/87</t>
  </si>
  <si>
    <t>5/6</t>
  </si>
  <si>
    <t>6/6</t>
  </si>
  <si>
    <t>2/6</t>
  </si>
  <si>
    <t>1/6</t>
  </si>
  <si>
    <t>Locatiegebonden erfgoed</t>
  </si>
  <si>
    <t>Archieven (n=38)</t>
  </si>
  <si>
    <t>Bibliotheken (n=8)</t>
  </si>
  <si>
    <t>Musea (n=87)</t>
  </si>
  <si>
    <t>Overig (n=6)</t>
  </si>
  <si>
    <t>n = 130</t>
  </si>
  <si>
    <t>totale gemiddelde: 75%</t>
  </si>
  <si>
    <t>Archieven (n=34)</t>
  </si>
  <si>
    <t>Totaal (n=130)</t>
  </si>
  <si>
    <t>Musea (n=83)</t>
  </si>
  <si>
    <t>Overig (n=5)</t>
  </si>
  <si>
    <t>n = 129</t>
  </si>
  <si>
    <t>totale gemiddelde: 28%</t>
  </si>
  <si>
    <t>Musea (n=82)</t>
  </si>
  <si>
    <t>Totaal (n=129)</t>
  </si>
  <si>
    <t>mediaan: 10%</t>
  </si>
  <si>
    <t>totale gemiddelde: 42%</t>
  </si>
  <si>
    <t>mediaan: 30%</t>
  </si>
  <si>
    <t>Wetenschappelijk onderzoek</t>
  </si>
  <si>
    <t>Creatief hergebruik</t>
  </si>
  <si>
    <t>Onderwijs</t>
  </si>
  <si>
    <t>Ideologisch/religieus/rituelen</t>
  </si>
  <si>
    <t>Persoonlijke belangstelling</t>
  </si>
  <si>
    <t>Terugdringen gebruik originelen</t>
  </si>
  <si>
    <t>Verkoop, commerciële licenties</t>
  </si>
  <si>
    <t>n=103</t>
  </si>
  <si>
    <t>Ideologisch/religieus/herdenkend</t>
  </si>
  <si>
    <t>gemiddelde</t>
  </si>
  <si>
    <t>Archieven (n=30)</t>
  </si>
  <si>
    <t>Per domein</t>
  </si>
  <si>
    <t>Bibliotheken (n=7)</t>
  </si>
  <si>
    <t>Musea (n=61)</t>
  </si>
  <si>
    <t>archieven (n=30)</t>
  </si>
  <si>
    <t>bibliotheken (n=7)</t>
  </si>
  <si>
    <t>musea (n=61)</t>
  </si>
  <si>
    <t>overig (n=5)</t>
  </si>
  <si>
    <t>Webstatistieken</t>
  </si>
  <si>
    <t>Sociale media</t>
  </si>
  <si>
    <t>Databasestatistieken</t>
  </si>
  <si>
    <t>Gebruikersonderzoek</t>
  </si>
  <si>
    <t>n=55</t>
  </si>
  <si>
    <t>Sociale media gebruik</t>
  </si>
  <si>
    <t>Offline</t>
  </si>
  <si>
    <t>Eigen website</t>
  </si>
  <si>
    <t>Nationale aggregator</t>
  </si>
  <si>
    <t>Europeana</t>
  </si>
  <si>
    <t>Andere aggregatoren</t>
  </si>
  <si>
    <t>Wikipedia</t>
  </si>
  <si>
    <t>Overige sociale media</t>
  </si>
  <si>
    <t>Eigen API</t>
  </si>
  <si>
    <t>API van 3e partij</t>
  </si>
  <si>
    <t>gemiddeld</t>
  </si>
  <si>
    <t>A.Huidige situatie</t>
  </si>
  <si>
    <t>nu</t>
  </si>
  <si>
    <t>over 2 jaar</t>
  </si>
  <si>
    <t xml:space="preserve">Overige kanalen: </t>
  </si>
  <si>
    <t>Open source API</t>
  </si>
  <si>
    <t>B. Over 2 jaar</t>
  </si>
  <si>
    <t>Google</t>
  </si>
  <si>
    <t>Maritiem Digitaal</t>
  </si>
  <si>
    <t>Apps</t>
  </si>
  <si>
    <t>n=27</t>
  </si>
  <si>
    <t>In eigen digitaal depot</t>
  </si>
  <si>
    <t>In een professioneel openbaar digitaal depot</t>
  </si>
  <si>
    <t>In een professioneel particulier digitaal depot</t>
  </si>
  <si>
    <t>Type duurzame opslag</t>
  </si>
  <si>
    <t>Eigen budget</t>
  </si>
  <si>
    <t>Tijdelijke projectmiddelen</t>
  </si>
  <si>
    <t>jaar eigen budget</t>
  </si>
  <si>
    <t>aar projectgelden</t>
  </si>
  <si>
    <t>n=99 en cijfers betreffen 2012 (94% van respondenten)</t>
  </si>
  <si>
    <t>Gemiddeld projectbudget</t>
  </si>
  <si>
    <t>Gemiddeld intern budget</t>
  </si>
  <si>
    <t>Gemiddeld totaalbudget</t>
  </si>
  <si>
    <t>Mediaan intern budget</t>
  </si>
  <si>
    <t>Mediaan projectbudget</t>
  </si>
  <si>
    <t>archieven (n=28)</t>
  </si>
  <si>
    <t>gem. omvang intern budget</t>
  </si>
  <si>
    <t>gem. omvang projectbudget</t>
  </si>
  <si>
    <t>instellingen zonder budget</t>
  </si>
  <si>
    <t>musea (n=59)</t>
  </si>
  <si>
    <t>instellingen met budget</t>
  </si>
  <si>
    <t>Per domein (n=99)</t>
  </si>
  <si>
    <t>Instellingen met uitgaven</t>
  </si>
  <si>
    <t>Instellingen zonder uitgaven</t>
  </si>
  <si>
    <t>Wel/geen uitgaven (n=99)</t>
  </si>
  <si>
    <t>totaal budget</t>
  </si>
  <si>
    <t>n=97</t>
  </si>
  <si>
    <t>Gem. % incidentele kosten</t>
  </si>
  <si>
    <t>Gem. % structurele kosten</t>
  </si>
  <si>
    <t>Gem. % externe kosten</t>
  </si>
  <si>
    <t>Gem. % interne kosten</t>
  </si>
  <si>
    <t>Per domein (n=97)</t>
  </si>
  <si>
    <t>musea (n=57)</t>
  </si>
  <si>
    <t>Q27a: Schat welk percentage van de Incidentele kosten kan worden toegeschreven aan de volgende activiteiten:</t>
  </si>
  <si>
    <t>Metadata vervaardigen</t>
  </si>
  <si>
    <t>Web design, softwareontwikkeling</t>
  </si>
  <si>
    <t>Projectmanagement</t>
  </si>
  <si>
    <t>Selectie t.b.v digitalisering</t>
  </si>
  <si>
    <t>Acquisitie born digital</t>
  </si>
  <si>
    <t>Logistiek (transport e.d.)</t>
  </si>
  <si>
    <t>Conversie analoog naar digitaal</t>
  </si>
  <si>
    <t>Copyright regelingen</t>
  </si>
  <si>
    <t>Overige kosten</t>
  </si>
  <si>
    <t>n=23</t>
  </si>
  <si>
    <t>Q27b: Schat welk percentage van de structurele kosten kan worden toegeschreven aan de volgende activiteiten:</t>
  </si>
  <si>
    <t>Incidentele kosten</t>
  </si>
  <si>
    <t>Structurele kosten</t>
  </si>
  <si>
    <t>Beheer</t>
  </si>
  <si>
    <t>Archivering (incl. opslag)</t>
  </si>
  <si>
    <t>Licenties</t>
  </si>
  <si>
    <t>Preservering (onderzoek en activiteiten)</t>
  </si>
  <si>
    <t>Onderhoud servers en diensten</t>
  </si>
  <si>
    <t>Communicatie/gebruikersondersteuning</t>
  </si>
  <si>
    <t>Redactiewerkzaamheden</t>
  </si>
  <si>
    <t>Gebruikersonderzoek (incl. statistieken)</t>
  </si>
  <si>
    <t>Q29: Hoeveel betaald personeel van uw instelling (in fte) is op jaarbasis betrokken bij het opbouwen, onderhouden, verbeteren en duurzaam beheren van uw digitale collecties?</t>
  </si>
  <si>
    <t>n=94</t>
  </si>
  <si>
    <t>Gem. aantal fte</t>
  </si>
  <si>
    <t>Per domein (n=94)</t>
  </si>
  <si>
    <t>bibliotheken (n=6)</t>
  </si>
  <si>
    <t>musea (n=55)</t>
  </si>
  <si>
    <t xml:space="preserve">mediaan </t>
  </si>
  <si>
    <t>Q30: Wat is op jaarbasis het totale aantal vrijwilligers (in fte) dat betrokken is bij het opbouwen, onderhouden, verbeteren en duurzaam beheren van uw digitale collecties?</t>
  </si>
  <si>
    <t>Betaald personeel</t>
  </si>
  <si>
    <t>Vrijwilligers</t>
  </si>
  <si>
    <t>Q31: Uit welke bronnen worden uw digitale collecties bekostigd?</t>
  </si>
  <si>
    <t>Interne budgetten</t>
  </si>
  <si>
    <t>Crowdfunding</t>
  </si>
  <si>
    <t>Nationale subsidies</t>
  </si>
  <si>
    <t>Regionale/lokale subsidies</t>
  </si>
  <si>
    <t>Private schenkingen</t>
  </si>
  <si>
    <t>Publiek-private samenwerking</t>
  </si>
  <si>
    <t>Verkoop digitale producten</t>
  </si>
  <si>
    <t>Overige inkomstenbronnen</t>
  </si>
  <si>
    <t xml:space="preserve">Q32: Wanneer u aanvullende informatie heeft, relevant voor een beter inzicht in de activiteiten rondom uw digitale collecties, kunt u die hieronder met ons delen. </t>
  </si>
  <si>
    <t>Q33: Graag horen wij van u hoe wij enquêtes als deze in de toekomst kunnen verbeteren. U kunt uw reactie hieronder geven.</t>
  </si>
  <si>
    <t>Opmerkingen bij 'Overig'</t>
  </si>
  <si>
    <t>Toelichting op 'Overige kosten'</t>
  </si>
  <si>
    <t>Incidenteel</t>
  </si>
  <si>
    <t>Structureel</t>
  </si>
  <si>
    <t>Opmerkingen bij 'Overige inkomstenbronnen'</t>
  </si>
  <si>
    <t>AV/Film</t>
  </si>
  <si>
    <t>Podiumkunsten</t>
  </si>
  <si>
    <t>Data-archief</t>
  </si>
  <si>
    <t>2013/2014</t>
  </si>
  <si>
    <t>2012/2013</t>
  </si>
  <si>
    <t>&lt;10.000 (n=6)</t>
  </si>
  <si>
    <t>Q11: Heeft uw instelling collecties die behouden moeten worden voor toekomstige generaties?</t>
  </si>
  <si>
    <t>Q13: Bestaat er binnen uw organisatie een vastgesteld digitaliseringsbeleid, dat wordt  onderschreven door het management van uw organisatie?</t>
  </si>
  <si>
    <t>n=139</t>
  </si>
  <si>
    <t>percentage</t>
  </si>
  <si>
    <t>aantal responses</t>
  </si>
  <si>
    <t>1-5%</t>
  </si>
  <si>
    <t>6-25%</t>
  </si>
  <si>
    <t>26-50%</t>
  </si>
  <si>
    <t>51-75%</t>
  </si>
  <si>
    <t>76-99%</t>
  </si>
  <si>
    <t>n=0</t>
  </si>
  <si>
    <t>n=13</t>
  </si>
  <si>
    <t>n=15</t>
  </si>
  <si>
    <t>n=30</t>
  </si>
  <si>
    <t>n=39</t>
  </si>
  <si>
    <t>n=9</t>
  </si>
  <si>
    <t>0% gedigitaliseerd</t>
  </si>
  <si>
    <t>1-5% gedigitaliseerd</t>
  </si>
  <si>
    <t>6-25% gedigitaliseerd</t>
  </si>
  <si>
    <t>26-50% gedigitaliseerd</t>
  </si>
  <si>
    <t>51-75% gedigitaliseerd</t>
  </si>
  <si>
    <t>76-99% gedigitaliseerd</t>
  </si>
  <si>
    <t xml:space="preserve"> 100% gedigitaliseerd</t>
  </si>
  <si>
    <t>respons geclusterd</t>
  </si>
  <si>
    <t>% clustering</t>
  </si>
  <si>
    <t>Gedigitaliseerd</t>
  </si>
  <si>
    <t>Nog te digitaliseren</t>
  </si>
  <si>
    <t>Niet nodig te digitaliseren</t>
  </si>
  <si>
    <t>n=90</t>
  </si>
  <si>
    <t>Archieven (n=26)</t>
  </si>
  <si>
    <t>Musea (n=53)</t>
  </si>
  <si>
    <t>Overig (n=4)</t>
  </si>
  <si>
    <t>Per type instelling, over 2 jaar</t>
  </si>
  <si>
    <t>n=101</t>
  </si>
  <si>
    <t>archieven (n=29)</t>
  </si>
  <si>
    <t>musea (n=60)</t>
  </si>
  <si>
    <t>musea (n=53)</t>
  </si>
  <si>
    <t>Welke budgetten (n=85)</t>
  </si>
  <si>
    <t>archieven (n=25)</t>
  </si>
  <si>
    <t>musea (n=49)</t>
  </si>
  <si>
    <t>overig (n=4)</t>
  </si>
  <si>
    <t>archieven</t>
  </si>
  <si>
    <t>biblio-theken</t>
  </si>
  <si>
    <t>musea</t>
  </si>
  <si>
    <t>&lt; 1000 euro</t>
  </si>
  <si>
    <t>1000 - 9.999</t>
  </si>
  <si>
    <t>10.000 - 99.999</t>
  </si>
  <si>
    <t>100.000 - 199.999</t>
  </si>
  <si>
    <t>200.000 - 499.999</t>
  </si>
  <si>
    <t>500.000 - 999.999</t>
  </si>
  <si>
    <t>&gt; 1.000.000</t>
  </si>
  <si>
    <t>overig</t>
  </si>
  <si>
    <t>n=21</t>
  </si>
  <si>
    <t>n=17</t>
  </si>
  <si>
    <t>n=38</t>
  </si>
  <si>
    <t>n=10</t>
  </si>
  <si>
    <t>n=2</t>
  </si>
  <si>
    <t>Exclusief overige instellingen</t>
  </si>
  <si>
    <t>bibliotheken</t>
  </si>
  <si>
    <t>&gt; 10</t>
  </si>
  <si>
    <t xml:space="preserve">totaal </t>
  </si>
  <si>
    <t>Gemiddelden NL</t>
  </si>
  <si>
    <t>4,4 fte</t>
  </si>
  <si>
    <r>
      <t>Gemiddelden EU</t>
    </r>
    <r>
      <rPr>
        <sz val="8"/>
        <color theme="1"/>
        <rFont val="Calibri"/>
        <family val="2"/>
        <scheme val="minor"/>
      </rPr>
      <t> </t>
    </r>
  </si>
  <si>
    <t>2,8 fte</t>
  </si>
  <si>
    <t>3-5</t>
  </si>
  <si>
    <t>1-2</t>
  </si>
  <si>
    <t>6-10</t>
  </si>
  <si>
    <t>&lt;1</t>
  </si>
  <si>
    <t>n=32</t>
  </si>
  <si>
    <t>n=28</t>
  </si>
  <si>
    <t>n=20</t>
  </si>
  <si>
    <t>n=6</t>
  </si>
  <si>
    <t>n=8</t>
  </si>
  <si>
    <t>n = 94</t>
  </si>
  <si>
    <t>4,8 fte</t>
  </si>
  <si>
    <t>2,4 fte</t>
  </si>
  <si>
    <t>27 fte</t>
  </si>
  <si>
    <t>A. Tekstuele bronnen</t>
  </si>
  <si>
    <t>-</t>
  </si>
  <si>
    <t>Zeldzame (gedrukte) boeken</t>
  </si>
  <si>
    <t>Overige gedrukte boeken</t>
  </si>
  <si>
    <t>E-books</t>
  </si>
  <si>
    <t>Kranten</t>
  </si>
  <si>
    <t>Wetenschappelijke tijdschriften</t>
  </si>
  <si>
    <t>Overige tijdschriften</t>
  </si>
  <si>
    <t>Middeleeuwse handschriften</t>
  </si>
  <si>
    <t>Overige handschriften</t>
  </si>
  <si>
    <t>Microforms en/of microfiches</t>
  </si>
  <si>
    <t>Overige tekstuele materialen</t>
  </si>
  <si>
    <t>Q15: Selecteer a.u.b. de objecttypes die onderdeel uitmaken van de erfgoedcollecties van uw instelling</t>
  </si>
  <si>
    <t>B. Visuele (2D) bronnen</t>
  </si>
  <si>
    <t>Tekeningen</t>
  </si>
  <si>
    <t>Graveerwerk / prenten</t>
  </si>
  <si>
    <t>Schilderijen</t>
  </si>
  <si>
    <t>Foto’s</t>
  </si>
  <si>
    <t>Posters</t>
  </si>
  <si>
    <t>Bladmuziek</t>
  </si>
  <si>
    <t>Overige visuele (2D) objecten</t>
  </si>
  <si>
    <t>% instellingen met digitale collectie</t>
  </si>
  <si>
    <t>% instellingen met fysieke collectie</t>
  </si>
  <si>
    <t>Kaarten en plattegronden</t>
  </si>
  <si>
    <t>C. Archiefmateriaal</t>
  </si>
  <si>
    <t>Archieven: Overheidsdocumenten</t>
  </si>
  <si>
    <t>Archieven: Overige archivalia</t>
  </si>
  <si>
    <t>D. Driedimensionale door de mens gemaakte objecten</t>
  </si>
  <si>
    <t>Archaeologische gebruiksvoorwerpen</t>
  </si>
  <si>
    <t>Overige gebruiksvoorwerpen</t>
  </si>
  <si>
    <t>Munten en penningen</t>
  </si>
  <si>
    <t>Overige 3-dimensionale door de mens gemaakte objecten</t>
  </si>
  <si>
    <t>3-dimensionale kunstwerken</t>
  </si>
  <si>
    <t>E. Natuurobjecten</t>
  </si>
  <si>
    <t>Objecten van anorganisch materiaal</t>
  </si>
  <si>
    <t>Planten en dieren</t>
  </si>
  <si>
    <t>F. Locatiegebonden erfgoed</t>
  </si>
  <si>
    <t>Monumenten en andere bouwwerken</t>
  </si>
  <si>
    <t>Archeologische sites</t>
  </si>
  <si>
    <t>Overig locatie-gebonden erfgoed</t>
  </si>
  <si>
    <t>Landschappen</t>
  </si>
  <si>
    <t>G. 'Time-based' media</t>
  </si>
  <si>
    <t>Audio-opnamen: muziek</t>
  </si>
  <si>
    <t>Audio-opnamen: spraak</t>
  </si>
  <si>
    <t>Digitale audio boeken</t>
  </si>
  <si>
    <t>Film</t>
  </si>
  <si>
    <t>Video-opnamen</t>
  </si>
  <si>
    <t>Overig time-based</t>
  </si>
  <si>
    <t>H. Digitaal interactief erfgoed</t>
  </si>
  <si>
    <t>Digitale 3D-ontwerpen/reconstructies</t>
  </si>
  <si>
    <t>Born-digital kunstwerken</t>
  </si>
  <si>
    <t>Digitale onderzoeksbestanden (incl. GIS)</t>
  </si>
  <si>
    <t>Games</t>
  </si>
  <si>
    <t>Software (incl. maakwerk)</t>
  </si>
  <si>
    <t>(Onderdelen van) websites</t>
  </si>
  <si>
    <t>Overige digitaal interactieve bronnen</t>
  </si>
  <si>
    <t>Databases (met erfgoedinformatie)</t>
  </si>
  <si>
    <t>Meest voorkomende typen fysieke collecties</t>
  </si>
  <si>
    <t>Meest voorkomende typen digitale collecties</t>
  </si>
  <si>
    <t>Correlatie tussen fysieke en digitale collecties</t>
  </si>
  <si>
    <t>Een lage waarde geeft aan dat van de instellingen die dit collectietype in fysieke vorm beheren, er maar weinig zijn die ze ook digitale vorm beheren</t>
  </si>
  <si>
    <t>Europa</t>
  </si>
  <si>
    <t>n=905</t>
  </si>
  <si>
    <t>Budget voor digitale collectie</t>
  </si>
  <si>
    <t>Optioneel: Geef aan wat de omvang is van uw collecties per objecttype en bepaal de behoefte om deze te digitaliseren</t>
  </si>
  <si>
    <t>totaal</t>
  </si>
  <si>
    <t>Rare printed books  | records</t>
  </si>
  <si>
    <t>Other printed books | records</t>
  </si>
  <si>
    <t xml:space="preserve">Overige (gedrukte) boeken </t>
  </si>
  <si>
    <t>Elektronische boeken (eBooks)</t>
  </si>
  <si>
    <t>Wetensch. tijdschriften</t>
  </si>
  <si>
    <t>Microforms en microfilms</t>
  </si>
  <si>
    <t>Gemiddelden</t>
  </si>
  <si>
    <t xml:space="preserve">Geschat % van de analoge collectie dat digitaal gereproduceerd is </t>
  </si>
  <si>
    <t>Geschat % van de gehele collectie dat nog gedigitaliseerd moet worden</t>
  </si>
  <si>
    <t>Geschat % van de volledige collectie dat niet digitaal gereproduceerd hoeft te worden</t>
  </si>
  <si>
    <t xml:space="preserve">Aantal records op item niveau in uw collectiedatabase(s) </t>
  </si>
  <si>
    <t>Geschat aantal analoge items in erfgoedcollectie</t>
  </si>
  <si>
    <t>Geschat aantal born digital items in erfgoedcollectie</t>
  </si>
  <si>
    <t>Gerangschikt op reeds gedigitaliseerd</t>
  </si>
  <si>
    <t>n=26</t>
  </si>
  <si>
    <t>Graveerwerk/prenten</t>
  </si>
  <si>
    <t>n=12</t>
  </si>
  <si>
    <t>Archieven: overheidsdocumenten</t>
  </si>
  <si>
    <t>Archieven: overige archivalia</t>
  </si>
  <si>
    <t>Geschat aantal meters archieven</t>
  </si>
  <si>
    <t>D. 3dimensionale door de mens gemaakte objecten</t>
  </si>
  <si>
    <t>n=14</t>
  </si>
  <si>
    <t>archeologische gebruikersvoorwerpen</t>
  </si>
  <si>
    <t>overige gebruiksvoorwerpen</t>
  </si>
  <si>
    <t>munten en penningen</t>
  </si>
  <si>
    <t>overige 3dimensionale door de mens gemaakte objecten</t>
  </si>
  <si>
    <t>n=5</t>
  </si>
  <si>
    <t>Objecten van organisch materiaal</t>
  </si>
  <si>
    <t>F. Locatie-gebonden erfgoed</t>
  </si>
  <si>
    <t>n=7</t>
  </si>
  <si>
    <t>Archeogologische sites</t>
  </si>
  <si>
    <t>G. Audiovisueel erfgoed ('time based')</t>
  </si>
  <si>
    <t>Digitale audioboeken</t>
  </si>
  <si>
    <t>Overige bronnen</t>
  </si>
  <si>
    <t>Geschat aantal analoge items in erfgoedcollectie (in uren)</t>
  </si>
  <si>
    <t>Geschat aantal born digital items in erfgoedcollectie (in uren)</t>
  </si>
  <si>
    <t>% aanwezigheid digitale collectie</t>
  </si>
  <si>
    <t>% aanwezigheid fysieke collectie</t>
  </si>
  <si>
    <t>Mediaan (n=129)</t>
  </si>
  <si>
    <t>Beschikbaarheid intern budget</t>
  </si>
  <si>
    <t>Beschikbaarheid projectbudget</t>
  </si>
  <si>
    <t>beschikbaarheid intern budget</t>
  </si>
  <si>
    <t>beschikbaarheid projectbudget</t>
  </si>
  <si>
    <t>T.o.v. totaalbudget (zie vraag 9)</t>
  </si>
  <si>
    <t>van € 2.397.308</t>
  </si>
  <si>
    <t>van € 300.000</t>
  </si>
  <si>
    <t>Gemiddeld minus 'Overig'</t>
  </si>
  <si>
    <t>Totaalbudget alle respondenten minus 'Overig')</t>
  </si>
  <si>
    <t>minus Overige instellingen</t>
  </si>
  <si>
    <t>T.o.v. totale personeelsbestand (zie vraag 10)</t>
  </si>
  <si>
    <t>x</t>
  </si>
  <si>
    <t>Publieke belangstelling</t>
  </si>
  <si>
    <t>relatieve groei</t>
  </si>
  <si>
    <t>Q15.  Selecteer a.u.b. de objecttypes die onderdeel uitmaken van de erfgoedcollecties van uw instelling</t>
  </si>
  <si>
    <t>Q16. Schat het percentage van uw volledige erfgoedcollectie dat opgenomen is in een collectiedatabase</t>
  </si>
  <si>
    <t>Q17. Schat het percentage van uw analoge erfgoedcollecties dat al digitaal gereproduceerd is:</t>
  </si>
  <si>
    <t>Q18. Schat het percentage van uw analoge erfgoedcollecties dat nog digitaal gereproduceerd moet worden:</t>
  </si>
  <si>
    <t>Q19. Digitale collecties worden met uiteenlopende bedoelingen toegankelijk gemaakt. Hoe belangrijk zijn de onderstaande vormen van gebruik voor uw instelling?</t>
  </si>
  <si>
    <t>Q20. Is er binnen uw organisatie een door het management onderschreven tekstueel document, waarin de condities worden beschreven waaronder verschillende vormen van gebruik mogelijk zijn?</t>
  </si>
  <si>
    <t>Q21. Meet uw organisatie het aantal keren dat digitale metadata en/of digitale objecten bekeken worden door gebruikers?</t>
  </si>
  <si>
    <t>Q22. Hoe meet uw organisatie het aantal keren dat digitale metadata en/of digitale objecten bekeken worden door gebruikers?</t>
  </si>
  <si>
    <t>Q23. Geef een schatting van het percentage van uw digitale objecten dat (in de toekomst) toegankelijk zal zijn via de navolgende opties voor toegang tot de collecties</t>
  </si>
  <si>
    <t>Q24. Is er binnen uw organisatie een door het management onderschreven tekstueel document waarin het beleid met betrekking tot de duurzame toegankelijkheid van de digitale collectie is vastgelegd?</t>
  </si>
  <si>
    <t>Q25. Zijn uw digitale collecties opgeslagen in digitale depots die opgezet zijn volgens internationale standaarden voor digitale duurzaamheid?</t>
  </si>
  <si>
    <t>Q26. Schat de jaarlijkse uitgaven aan de digitale collecties van uw instelling ('total cost of ownership')</t>
  </si>
  <si>
    <t xml:space="preserve">Q27. Schat welk percentage van de jaarlijkse uitgaven van uw organisatie aan het opbouwen, onderhouden, verbeteren en duurzaam beheren van de digitale collecties wordt besteed aan incidentele kosten en welk percentage aan structurele kosten </t>
  </si>
  <si>
    <t>Q28. Schat welk percentage van de jaarlijkse uitgaven van uw organisatie aan het opbouwen, onderhouden, verbeteren en duurzaam beheren van digitale collecties binnen uw instelling (In‐house) wordt besteed en welk percentage wordt uitbesteed (Outsourced)</t>
  </si>
</sst>
</file>

<file path=xl/styles.xml><?xml version="1.0" encoding="utf-8"?>
<styleSheet xmlns="http://schemas.openxmlformats.org/spreadsheetml/2006/main">
  <numFmts count="4">
    <numFmt numFmtId="164" formatCode="&quot;€&quot;\ #,##0"/>
    <numFmt numFmtId="165" formatCode="#,##0.0"/>
    <numFmt numFmtId="166" formatCode="0.0"/>
    <numFmt numFmtId="167" formatCode="0.0%"/>
  </numFmts>
  <fonts count="12">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0"/>
      <name val="Arial"/>
      <family val="2"/>
    </font>
    <font>
      <i/>
      <sz val="10"/>
      <name val="Arial"/>
      <family val="2"/>
    </font>
    <font>
      <sz val="11"/>
      <name val="Calibri"/>
      <family val="2"/>
      <scheme val="minor"/>
    </font>
    <font>
      <i/>
      <sz val="10"/>
      <color rgb="FFFF0000"/>
      <name val="Arial"/>
      <family val="2"/>
    </font>
    <font>
      <b/>
      <sz val="9"/>
      <color theme="1"/>
      <name val="Verdana"/>
      <family val="2"/>
    </font>
    <font>
      <sz val="9"/>
      <color theme="1"/>
      <name val="Verdana"/>
      <family val="2"/>
    </font>
    <font>
      <i/>
      <sz val="9"/>
      <color theme="1"/>
      <name val="Verdana"/>
      <family val="2"/>
    </font>
    <font>
      <sz val="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rgb="FFE5B8B7"/>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70">
    <xf numFmtId="0" fontId="0" fillId="0" borderId="0" xfId="0"/>
    <xf numFmtId="0" fontId="2" fillId="0" borderId="0" xfId="0" applyFont="1"/>
    <xf numFmtId="0" fontId="0" fillId="2" borderId="0" xfId="0" applyFill="1"/>
    <xf numFmtId="0" fontId="1" fillId="0" borderId="0" xfId="0" applyFont="1"/>
    <xf numFmtId="0" fontId="2" fillId="0" borderId="0" xfId="0" applyFont="1" applyAlignment="1">
      <alignment horizontal="right"/>
    </xf>
    <xf numFmtId="0" fontId="0" fillId="0" borderId="0" xfId="0" quotePrefix="1" applyAlignment="1">
      <alignment horizontal="right"/>
    </xf>
    <xf numFmtId="3" fontId="3" fillId="0" borderId="0" xfId="0" applyNumberFormat="1" applyFont="1"/>
    <xf numFmtId="3" fontId="4" fillId="0" borderId="0" xfId="0" applyNumberFormat="1" applyFont="1"/>
    <xf numFmtId="0" fontId="4" fillId="0" borderId="0" xfId="0" applyFont="1"/>
    <xf numFmtId="0" fontId="1" fillId="0" borderId="0" xfId="0" applyFont="1" applyAlignment="1"/>
    <xf numFmtId="0" fontId="2" fillId="3" borderId="0" xfId="0" applyFont="1" applyFill="1"/>
    <xf numFmtId="0" fontId="0" fillId="3" borderId="0" xfId="0" applyFill="1"/>
    <xf numFmtId="164" fontId="0" fillId="0" borderId="0" xfId="0" applyNumberFormat="1" applyAlignment="1"/>
    <xf numFmtId="0" fontId="2" fillId="0" borderId="0" xfId="0" applyNumberFormat="1" applyFont="1" applyAlignment="1"/>
    <xf numFmtId="164" fontId="0" fillId="0" borderId="0" xfId="0" applyNumberFormat="1"/>
    <xf numFmtId="1" fontId="0" fillId="0" borderId="0" xfId="0" applyNumberFormat="1"/>
    <xf numFmtId="0" fontId="3" fillId="0" borderId="0" xfId="0" applyFont="1"/>
    <xf numFmtId="3" fontId="3" fillId="0" borderId="0" xfId="0" applyNumberFormat="1" applyFont="1" applyFill="1"/>
    <xf numFmtId="3" fontId="4" fillId="0" borderId="0" xfId="0" applyNumberFormat="1" applyFont="1" applyFill="1"/>
    <xf numFmtId="0" fontId="5" fillId="0" borderId="0" xfId="0" applyFont="1"/>
    <xf numFmtId="0" fontId="3" fillId="0" borderId="0" xfId="0" quotePrefix="1" applyFont="1"/>
    <xf numFmtId="3" fontId="3" fillId="0" borderId="0" xfId="0" quotePrefix="1" applyNumberFormat="1" applyFont="1"/>
    <xf numFmtId="0" fontId="0" fillId="0" borderId="0" xfId="0" applyFill="1"/>
    <xf numFmtId="0" fontId="4" fillId="0" borderId="0" xfId="0" applyFont="1" applyFill="1"/>
    <xf numFmtId="165" fontId="3" fillId="0" borderId="0" xfId="0" applyNumberFormat="1" applyFont="1"/>
    <xf numFmtId="9" fontId="0" fillId="0" borderId="0" xfId="0" applyNumberFormat="1"/>
    <xf numFmtId="0" fontId="0" fillId="4" borderId="0" xfId="0" applyFill="1" applyAlignment="1">
      <alignment horizontal="left"/>
    </xf>
    <xf numFmtId="0" fontId="0" fillId="4" borderId="0" xfId="0" applyFill="1"/>
    <xf numFmtId="3" fontId="3" fillId="4" borderId="0" xfId="0" applyNumberFormat="1" applyFont="1" applyFill="1"/>
    <xf numFmtId="9" fontId="0" fillId="4" borderId="0" xfId="0" applyNumberFormat="1" applyFill="1"/>
    <xf numFmtId="166" fontId="0" fillId="0" borderId="0" xfId="0" applyNumberFormat="1"/>
    <xf numFmtId="0" fontId="6" fillId="0" borderId="0" xfId="0" applyFont="1"/>
    <xf numFmtId="164" fontId="6" fillId="0" borderId="0" xfId="0" applyNumberFormat="1" applyFont="1" applyAlignment="1"/>
    <xf numFmtId="166" fontId="6" fillId="0" borderId="0" xfId="0" applyNumberFormat="1" applyFont="1"/>
    <xf numFmtId="3" fontId="7" fillId="0" borderId="0" xfId="0" applyNumberFormat="1" applyFont="1" applyFill="1"/>
    <xf numFmtId="0" fontId="3" fillId="4" borderId="0" xfId="0" applyFont="1" applyFill="1"/>
    <xf numFmtId="0" fontId="0" fillId="0" borderId="0" xfId="0" quotePrefix="1"/>
    <xf numFmtId="0" fontId="0" fillId="5" borderId="0" xfId="0" applyFill="1"/>
    <xf numFmtId="9" fontId="0" fillId="0" borderId="0" xfId="0" quotePrefix="1" applyNumberFormat="1"/>
    <xf numFmtId="1" fontId="1" fillId="0" borderId="0" xfId="0" applyNumberFormat="1" applyFont="1"/>
    <xf numFmtId="49" fontId="0" fillId="0" borderId="0" xfId="0" applyNumberFormat="1"/>
    <xf numFmtId="164" fontId="1" fillId="0" borderId="0" xfId="0" applyNumberFormat="1" applyFont="1"/>
    <xf numFmtId="166" fontId="1" fillId="0" borderId="0" xfId="0" applyNumberFormat="1" applyFont="1"/>
    <xf numFmtId="0" fontId="0" fillId="6" borderId="0" xfId="0" applyFill="1"/>
    <xf numFmtId="9" fontId="0" fillId="0" borderId="0" xfId="0" applyNumberFormat="1" applyFont="1"/>
    <xf numFmtId="0" fontId="0" fillId="0" borderId="0" xfId="0" applyAlignment="1">
      <alignment vertical="top"/>
    </xf>
    <xf numFmtId="0" fontId="0" fillId="0" borderId="0" xfId="0"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7" borderId="2" xfId="0" applyFont="1" applyFill="1" applyBorder="1" applyAlignment="1">
      <alignment vertical="top" wrapText="1"/>
    </xf>
    <xf numFmtId="9" fontId="9" fillId="0" borderId="3" xfId="0" applyNumberFormat="1" applyFont="1" applyBorder="1" applyAlignment="1">
      <alignment vertical="top" wrapText="1"/>
    </xf>
    <xf numFmtId="0" fontId="9" fillId="0" borderId="4" xfId="0" applyFont="1" applyBorder="1" applyAlignment="1">
      <alignment vertical="top" wrapText="1"/>
    </xf>
    <xf numFmtId="0" fontId="9" fillId="7" borderId="4" xfId="0" applyFont="1" applyFill="1" applyBorder="1" applyAlignment="1">
      <alignment vertical="top" wrapText="1"/>
    </xf>
    <xf numFmtId="0" fontId="9" fillId="0" borderId="3"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7" borderId="4" xfId="0" applyFont="1" applyFill="1" applyBorder="1" applyAlignment="1">
      <alignment vertical="top" wrapText="1"/>
    </xf>
    <xf numFmtId="0" fontId="0" fillId="0" borderId="1" xfId="0" applyBorder="1"/>
    <xf numFmtId="9" fontId="9" fillId="0" borderId="4" xfId="0" applyNumberFormat="1" applyFont="1" applyBorder="1" applyAlignment="1">
      <alignment horizontal="left" vertical="top" wrapText="1"/>
    </xf>
    <xf numFmtId="9" fontId="0" fillId="0" borderId="1" xfId="0" applyNumberFormat="1" applyBorder="1"/>
    <xf numFmtId="0" fontId="0" fillId="0" borderId="4" xfId="0" applyBorder="1" applyAlignment="1">
      <alignment vertical="top" wrapText="1"/>
    </xf>
    <xf numFmtId="0" fontId="0" fillId="0" borderId="5" xfId="0" applyFill="1" applyBorder="1" applyAlignment="1">
      <alignment vertical="top" wrapText="1"/>
    </xf>
    <xf numFmtId="0" fontId="9" fillId="0" borderId="4" xfId="0" applyFont="1" applyBorder="1" applyAlignment="1">
      <alignment horizontal="right" vertical="top" wrapText="1"/>
    </xf>
    <xf numFmtId="0" fontId="9" fillId="0" borderId="3" xfId="0" quotePrefix="1" applyFont="1" applyBorder="1" applyAlignment="1">
      <alignment vertical="top" wrapText="1"/>
    </xf>
    <xf numFmtId="16" fontId="9" fillId="0" borderId="3" xfId="0" quotePrefix="1" applyNumberFormat="1" applyFont="1" applyBorder="1" applyAlignment="1">
      <alignment vertical="top" wrapText="1"/>
    </xf>
    <xf numFmtId="1" fontId="0" fillId="0" borderId="0" xfId="0" quotePrefix="1" applyNumberFormat="1" applyAlignment="1">
      <alignment horizontal="right"/>
    </xf>
    <xf numFmtId="1" fontId="0" fillId="0" borderId="0" xfId="0" quotePrefix="1" applyNumberFormat="1"/>
    <xf numFmtId="2" fontId="0" fillId="0" borderId="0" xfId="0" applyNumberFormat="1"/>
    <xf numFmtId="10" fontId="0" fillId="0" borderId="0" xfId="0" applyNumberFormat="1"/>
    <xf numFmtId="167" fontId="0" fillId="0" borderId="0" xfId="0" applyNumberForma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en-US"/>
              <a:t>Aantal en type respondenten </a:t>
            </a:r>
          </a:p>
          <a:p>
            <a:pPr>
              <a:defRPr/>
            </a:pPr>
            <a:r>
              <a:rPr lang="en-US"/>
              <a:t>(n = 143)</a:t>
            </a:r>
          </a:p>
        </c:rich>
      </c:tx>
    </c:title>
    <c:plotArea>
      <c:layout/>
      <c:barChart>
        <c:barDir val="bar"/>
        <c:grouping val="clustered"/>
        <c:ser>
          <c:idx val="0"/>
          <c:order val="0"/>
          <c:tx>
            <c:strRef>
              <c:f>'Q1-8'!$J$3</c:f>
              <c:strCache>
                <c:ptCount val="1"/>
                <c:pt idx="0">
                  <c:v>Aantal</c:v>
                </c:pt>
              </c:strCache>
            </c:strRef>
          </c:tx>
          <c:cat>
            <c:strRef>
              <c:f>'Q1-8'!$I$4:$I$17</c:f>
              <c:strCache>
                <c:ptCount val="14"/>
                <c:pt idx="0">
                  <c:v>Audio-visueel archief</c:v>
                </c:pt>
                <c:pt idx="1">
                  <c:v>Filminstituut</c:v>
                </c:pt>
                <c:pt idx="2">
                  <c:v>Instituut voor podiumkunsten</c:v>
                </c:pt>
                <c:pt idx="3">
                  <c:v>Speciale bibliotheek</c:v>
                </c:pt>
                <c:pt idx="4">
                  <c:v>Monumentenzorg</c:v>
                </c:pt>
                <c:pt idx="5">
                  <c:v>Openbare bibliotheek</c:v>
                </c:pt>
                <c:pt idx="6">
                  <c:v>Volkenkundig museum</c:v>
                </c:pt>
                <c:pt idx="7">
                  <c:v>Hoger onderwijs bibliotheek</c:v>
                </c:pt>
                <c:pt idx="8">
                  <c:v>Natuurhistorische museum</c:v>
                </c:pt>
                <c:pt idx="9">
                  <c:v>Techniekmuseum</c:v>
                </c:pt>
                <c:pt idx="10">
                  <c:v>Kunstmuseum</c:v>
                </c:pt>
                <c:pt idx="11">
                  <c:v>Overig</c:v>
                </c:pt>
                <c:pt idx="12">
                  <c:v>Historisch museum</c:v>
                </c:pt>
                <c:pt idx="13">
                  <c:v>Archiefinstelling</c:v>
                </c:pt>
              </c:strCache>
            </c:strRef>
          </c:cat>
          <c:val>
            <c:numRef>
              <c:f>'Q1-8'!$J$4:$J$17</c:f>
              <c:numCache>
                <c:formatCode>General</c:formatCode>
                <c:ptCount val="14"/>
                <c:pt idx="0">
                  <c:v>1</c:v>
                </c:pt>
                <c:pt idx="1">
                  <c:v>1</c:v>
                </c:pt>
                <c:pt idx="2">
                  <c:v>1</c:v>
                </c:pt>
                <c:pt idx="3">
                  <c:v>1</c:v>
                </c:pt>
                <c:pt idx="4">
                  <c:v>2</c:v>
                </c:pt>
                <c:pt idx="5">
                  <c:v>2</c:v>
                </c:pt>
                <c:pt idx="6">
                  <c:v>3</c:v>
                </c:pt>
                <c:pt idx="7">
                  <c:v>4</c:v>
                </c:pt>
                <c:pt idx="8">
                  <c:v>5</c:v>
                </c:pt>
                <c:pt idx="9">
                  <c:v>7</c:v>
                </c:pt>
                <c:pt idx="10">
                  <c:v>18</c:v>
                </c:pt>
                <c:pt idx="11">
                  <c:v>26</c:v>
                </c:pt>
                <c:pt idx="12">
                  <c:v>36</c:v>
                </c:pt>
                <c:pt idx="13">
                  <c:v>36</c:v>
                </c:pt>
              </c:numCache>
            </c:numRef>
          </c:val>
        </c:ser>
        <c:dLbls>
          <c:showVal val="1"/>
        </c:dLbls>
        <c:overlap val="-25"/>
        <c:axId val="106625664"/>
        <c:axId val="106512768"/>
      </c:barChart>
      <c:catAx>
        <c:axId val="106625664"/>
        <c:scaling>
          <c:orientation val="minMax"/>
        </c:scaling>
        <c:axPos val="l"/>
        <c:majorTickMark val="none"/>
        <c:tickLblPos val="nextTo"/>
        <c:crossAx val="106512768"/>
        <c:crosses val="autoZero"/>
        <c:auto val="1"/>
        <c:lblAlgn val="ctr"/>
        <c:lblOffset val="100"/>
      </c:catAx>
      <c:valAx>
        <c:axId val="106512768"/>
        <c:scaling>
          <c:orientation val="minMax"/>
        </c:scaling>
        <c:delete val="1"/>
        <c:axPos val="b"/>
        <c:numFmt formatCode="General" sourceLinked="1"/>
        <c:majorTickMark val="none"/>
        <c:tickLblPos val="none"/>
        <c:crossAx val="106625664"/>
        <c:crosses val="autoZero"/>
        <c:crossBetween val="between"/>
      </c:valAx>
    </c:plotArea>
    <c:legend>
      <c:legendPos val="t"/>
    </c:legend>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Is er een vastgesteld digitaliseringsbeleid </a:t>
            </a:r>
            <a:endParaRPr lang="nl-NL"/>
          </a:p>
          <a:p>
            <a:pPr>
              <a:defRPr/>
            </a:pPr>
            <a:r>
              <a:rPr lang="nl-NL" sz="1800" b="1" i="0" baseline="0"/>
              <a:t>(n = 137)</a:t>
            </a:r>
          </a:p>
        </c:rich>
      </c:tx>
      <c:layout/>
    </c:title>
    <c:plotArea>
      <c:layout/>
      <c:pieChart>
        <c:varyColors val="1"/>
        <c:ser>
          <c:idx val="0"/>
          <c:order val="0"/>
          <c:dLbls>
            <c:showPercent val="1"/>
            <c:showLeaderLines val="1"/>
          </c:dLbls>
          <c:cat>
            <c:strRef>
              <c:f>'Q13'!$E$5:$E$6</c:f>
              <c:strCache>
                <c:ptCount val="2"/>
                <c:pt idx="0">
                  <c:v>Ja</c:v>
                </c:pt>
                <c:pt idx="1">
                  <c:v>Nee</c:v>
                </c:pt>
              </c:strCache>
            </c:strRef>
          </c:cat>
          <c:val>
            <c:numRef>
              <c:f>'Q13'!$F$5:$F$6</c:f>
              <c:numCache>
                <c:formatCode>General</c:formatCode>
                <c:ptCount val="2"/>
                <c:pt idx="0">
                  <c:v>93</c:v>
                </c:pt>
                <c:pt idx="1">
                  <c:v>44</c:v>
                </c:pt>
              </c:numCache>
            </c:numRef>
          </c:val>
        </c:ser>
        <c:dLbls>
          <c:showPercent val="1"/>
        </c:dLbls>
        <c:firstSliceAng val="0"/>
      </c:pieChart>
    </c:plotArea>
    <c:legend>
      <c:legendPos val="t"/>
      <c:layout/>
    </c:legend>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Verzamelt uw instelling born digital erfgoed? </a:t>
            </a:r>
          </a:p>
          <a:p>
            <a:pPr>
              <a:defRPr/>
            </a:pPr>
            <a:r>
              <a:rPr lang="nl-NL"/>
              <a:t>(n=133)</a:t>
            </a:r>
          </a:p>
        </c:rich>
      </c:tx>
      <c:layout/>
    </c:title>
    <c:plotArea>
      <c:layout/>
      <c:pieChart>
        <c:varyColors val="1"/>
        <c:ser>
          <c:idx val="0"/>
          <c:order val="0"/>
          <c:dLbls>
            <c:showPercent val="1"/>
            <c:showLeaderLines val="1"/>
          </c:dLbls>
          <c:cat>
            <c:strRef>
              <c:f>'Q14'!$E$4:$E$5</c:f>
              <c:strCache>
                <c:ptCount val="2"/>
                <c:pt idx="0">
                  <c:v>Ja</c:v>
                </c:pt>
                <c:pt idx="1">
                  <c:v>Nee</c:v>
                </c:pt>
              </c:strCache>
            </c:strRef>
          </c:cat>
          <c:val>
            <c:numRef>
              <c:f>'Q14'!$F$4:$F$5</c:f>
              <c:numCache>
                <c:formatCode>General</c:formatCode>
                <c:ptCount val="2"/>
                <c:pt idx="0">
                  <c:v>70</c:v>
                </c:pt>
                <c:pt idx="1">
                  <c:v>63</c:v>
                </c:pt>
              </c:numCache>
            </c:numRef>
          </c:val>
        </c:ser>
        <c:dLbls>
          <c:showPercent val="1"/>
        </c:dLbls>
        <c:firstSliceAng val="0"/>
      </c:pieChart>
    </c:plotArea>
    <c:legend>
      <c:legendPos val="t"/>
      <c:layout/>
    </c:legend>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Tekstuele</a:t>
            </a:r>
            <a:r>
              <a:rPr lang="nl-NL" baseline="0"/>
              <a:t> bronnen in collectie</a:t>
            </a:r>
            <a:endParaRPr lang="nl-NL"/>
          </a:p>
        </c:rich>
      </c:tx>
      <c:layout/>
    </c:title>
    <c:plotArea>
      <c:layout/>
      <c:barChart>
        <c:barDir val="col"/>
        <c:grouping val="percentStacked"/>
        <c:ser>
          <c:idx val="0"/>
          <c:order val="0"/>
          <c:tx>
            <c:strRef>
              <c:f>'Q15'!$L$4</c:f>
              <c:strCache>
                <c:ptCount val="1"/>
                <c:pt idx="0">
                  <c:v>Ja</c:v>
                </c:pt>
              </c:strCache>
            </c:strRef>
          </c:tx>
          <c:cat>
            <c:strRef>
              <c:f>'Q15'!$K$5:$K$8</c:f>
              <c:strCache>
                <c:ptCount val="4"/>
                <c:pt idx="0">
                  <c:v>Archieven (n=38)</c:v>
                </c:pt>
                <c:pt idx="1">
                  <c:v>Bibliotheken (n=8)</c:v>
                </c:pt>
                <c:pt idx="2">
                  <c:v>Musea (n=87)</c:v>
                </c:pt>
                <c:pt idx="3">
                  <c:v>Overig (n=6)</c:v>
                </c:pt>
              </c:strCache>
            </c:strRef>
          </c:cat>
          <c:val>
            <c:numRef>
              <c:f>'Q15'!$L$5:$L$8</c:f>
              <c:numCache>
                <c:formatCode>General</c:formatCode>
                <c:ptCount val="4"/>
                <c:pt idx="0">
                  <c:v>34</c:v>
                </c:pt>
                <c:pt idx="1">
                  <c:v>8</c:v>
                </c:pt>
                <c:pt idx="2">
                  <c:v>68</c:v>
                </c:pt>
                <c:pt idx="3">
                  <c:v>5</c:v>
                </c:pt>
              </c:numCache>
            </c:numRef>
          </c:val>
        </c:ser>
        <c:ser>
          <c:idx val="1"/>
          <c:order val="1"/>
          <c:tx>
            <c:strRef>
              <c:f>'Q15'!$M$4</c:f>
              <c:strCache>
                <c:ptCount val="1"/>
                <c:pt idx="0">
                  <c:v>Nee</c:v>
                </c:pt>
              </c:strCache>
            </c:strRef>
          </c:tx>
          <c:cat>
            <c:strRef>
              <c:f>'Q15'!$K$5:$K$8</c:f>
              <c:strCache>
                <c:ptCount val="4"/>
                <c:pt idx="0">
                  <c:v>Archieven (n=38)</c:v>
                </c:pt>
                <c:pt idx="1">
                  <c:v>Bibliotheken (n=8)</c:v>
                </c:pt>
                <c:pt idx="2">
                  <c:v>Musea (n=87)</c:v>
                </c:pt>
                <c:pt idx="3">
                  <c:v>Overig (n=6)</c:v>
                </c:pt>
              </c:strCache>
            </c:strRef>
          </c:cat>
          <c:val>
            <c:numRef>
              <c:f>'Q15'!$M$5:$M$8</c:f>
              <c:numCache>
                <c:formatCode>General</c:formatCode>
                <c:ptCount val="4"/>
                <c:pt idx="0">
                  <c:v>4</c:v>
                </c:pt>
                <c:pt idx="1">
                  <c:v>0</c:v>
                </c:pt>
                <c:pt idx="2">
                  <c:v>19</c:v>
                </c:pt>
                <c:pt idx="3">
                  <c:v>1</c:v>
                </c:pt>
              </c:numCache>
            </c:numRef>
          </c:val>
        </c:ser>
        <c:dLbls>
          <c:showVal val="1"/>
        </c:dLbls>
        <c:gapWidth val="95"/>
        <c:overlap val="100"/>
        <c:axId val="108926080"/>
        <c:axId val="108927616"/>
      </c:barChart>
      <c:catAx>
        <c:axId val="108926080"/>
        <c:scaling>
          <c:orientation val="minMax"/>
        </c:scaling>
        <c:axPos val="b"/>
        <c:majorTickMark val="none"/>
        <c:tickLblPos val="nextTo"/>
        <c:crossAx val="108927616"/>
        <c:crosses val="autoZero"/>
        <c:auto val="1"/>
        <c:lblAlgn val="ctr"/>
        <c:lblOffset val="100"/>
      </c:catAx>
      <c:valAx>
        <c:axId val="108927616"/>
        <c:scaling>
          <c:orientation val="minMax"/>
        </c:scaling>
        <c:delete val="1"/>
        <c:axPos val="l"/>
        <c:numFmt formatCode="0%" sourceLinked="1"/>
        <c:majorTickMark val="none"/>
        <c:tickLblPos val="none"/>
        <c:crossAx val="108926080"/>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Beeldmateriaal</a:t>
            </a:r>
            <a:r>
              <a:rPr lang="nl-NL" baseline="0"/>
              <a:t> (2D) in collectie</a:t>
            </a:r>
            <a:endParaRPr lang="nl-NL"/>
          </a:p>
        </c:rich>
      </c:tx>
      <c:layout/>
    </c:title>
    <c:plotArea>
      <c:layout/>
      <c:barChart>
        <c:barDir val="col"/>
        <c:grouping val="percentStacked"/>
        <c:ser>
          <c:idx val="0"/>
          <c:order val="0"/>
          <c:tx>
            <c:strRef>
              <c:f>'Q15'!$L$11</c:f>
              <c:strCache>
                <c:ptCount val="1"/>
                <c:pt idx="0">
                  <c:v>Ja</c:v>
                </c:pt>
              </c:strCache>
            </c:strRef>
          </c:tx>
          <c:cat>
            <c:strRef>
              <c:f>'Q15'!$K$12:$K$15</c:f>
              <c:strCache>
                <c:ptCount val="4"/>
                <c:pt idx="0">
                  <c:v>Archieven (n=38)</c:v>
                </c:pt>
                <c:pt idx="1">
                  <c:v>Bibliotheken (n=8)</c:v>
                </c:pt>
                <c:pt idx="2">
                  <c:v>Musea (n=87)</c:v>
                </c:pt>
                <c:pt idx="3">
                  <c:v>Overig (n=6)</c:v>
                </c:pt>
              </c:strCache>
            </c:strRef>
          </c:cat>
          <c:val>
            <c:numRef>
              <c:f>'Q15'!$L$12:$L$15</c:f>
              <c:numCache>
                <c:formatCode>General</c:formatCode>
                <c:ptCount val="4"/>
                <c:pt idx="0">
                  <c:v>38</c:v>
                </c:pt>
                <c:pt idx="1">
                  <c:v>7</c:v>
                </c:pt>
                <c:pt idx="2">
                  <c:v>79</c:v>
                </c:pt>
                <c:pt idx="3">
                  <c:v>6</c:v>
                </c:pt>
              </c:numCache>
            </c:numRef>
          </c:val>
        </c:ser>
        <c:ser>
          <c:idx val="1"/>
          <c:order val="1"/>
          <c:tx>
            <c:strRef>
              <c:f>'Q15'!$M$11</c:f>
              <c:strCache>
                <c:ptCount val="1"/>
                <c:pt idx="0">
                  <c:v>Nee</c:v>
                </c:pt>
              </c:strCache>
            </c:strRef>
          </c:tx>
          <c:cat>
            <c:strRef>
              <c:f>'Q15'!$K$12:$K$15</c:f>
              <c:strCache>
                <c:ptCount val="4"/>
                <c:pt idx="0">
                  <c:v>Archieven (n=38)</c:v>
                </c:pt>
                <c:pt idx="1">
                  <c:v>Bibliotheken (n=8)</c:v>
                </c:pt>
                <c:pt idx="2">
                  <c:v>Musea (n=87)</c:v>
                </c:pt>
                <c:pt idx="3">
                  <c:v>Overig (n=6)</c:v>
                </c:pt>
              </c:strCache>
            </c:strRef>
          </c:cat>
          <c:val>
            <c:numRef>
              <c:f>'Q15'!$M$12:$M$15</c:f>
              <c:numCache>
                <c:formatCode>General</c:formatCode>
                <c:ptCount val="4"/>
                <c:pt idx="0">
                  <c:v>0</c:v>
                </c:pt>
                <c:pt idx="1">
                  <c:v>1</c:v>
                </c:pt>
                <c:pt idx="2">
                  <c:v>8</c:v>
                </c:pt>
                <c:pt idx="3">
                  <c:v>0</c:v>
                </c:pt>
              </c:numCache>
            </c:numRef>
          </c:val>
        </c:ser>
        <c:dLbls>
          <c:showVal val="1"/>
        </c:dLbls>
        <c:gapWidth val="95"/>
        <c:overlap val="100"/>
        <c:axId val="108974080"/>
        <c:axId val="108975616"/>
      </c:barChart>
      <c:catAx>
        <c:axId val="108974080"/>
        <c:scaling>
          <c:orientation val="minMax"/>
        </c:scaling>
        <c:axPos val="b"/>
        <c:majorTickMark val="none"/>
        <c:tickLblPos val="nextTo"/>
        <c:crossAx val="108975616"/>
        <c:crosses val="autoZero"/>
        <c:auto val="1"/>
        <c:lblAlgn val="ctr"/>
        <c:lblOffset val="100"/>
      </c:catAx>
      <c:valAx>
        <c:axId val="108975616"/>
        <c:scaling>
          <c:orientation val="minMax"/>
        </c:scaling>
        <c:delete val="1"/>
        <c:axPos val="l"/>
        <c:numFmt formatCode="0%" sourceLinked="1"/>
        <c:tickLblPos val="none"/>
        <c:crossAx val="108974080"/>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Archiefmateriaal in collectie</a:t>
            </a:r>
          </a:p>
        </c:rich>
      </c:tx>
      <c:layout/>
    </c:title>
    <c:plotArea>
      <c:layout/>
      <c:barChart>
        <c:barDir val="col"/>
        <c:grouping val="percentStacked"/>
        <c:ser>
          <c:idx val="0"/>
          <c:order val="0"/>
          <c:tx>
            <c:strRef>
              <c:f>'Q15'!$L$18</c:f>
              <c:strCache>
                <c:ptCount val="1"/>
                <c:pt idx="0">
                  <c:v>Ja</c:v>
                </c:pt>
              </c:strCache>
            </c:strRef>
          </c:tx>
          <c:cat>
            <c:strRef>
              <c:f>'Q15'!$K$19:$K$22</c:f>
              <c:strCache>
                <c:ptCount val="4"/>
                <c:pt idx="0">
                  <c:v>Archieven (n=38)</c:v>
                </c:pt>
                <c:pt idx="1">
                  <c:v>Bibliotheken (n=8)</c:v>
                </c:pt>
                <c:pt idx="2">
                  <c:v>Musea (n=87)</c:v>
                </c:pt>
                <c:pt idx="3">
                  <c:v>Overig (n=6)</c:v>
                </c:pt>
              </c:strCache>
            </c:strRef>
          </c:cat>
          <c:val>
            <c:numRef>
              <c:f>'Q15'!$L$19:$L$22</c:f>
              <c:numCache>
                <c:formatCode>General</c:formatCode>
                <c:ptCount val="4"/>
                <c:pt idx="0">
                  <c:v>36</c:v>
                </c:pt>
                <c:pt idx="1">
                  <c:v>6</c:v>
                </c:pt>
                <c:pt idx="2">
                  <c:v>49</c:v>
                </c:pt>
                <c:pt idx="3">
                  <c:v>6</c:v>
                </c:pt>
              </c:numCache>
            </c:numRef>
          </c:val>
        </c:ser>
        <c:ser>
          <c:idx val="1"/>
          <c:order val="1"/>
          <c:tx>
            <c:strRef>
              <c:f>'Q15'!$M$18</c:f>
              <c:strCache>
                <c:ptCount val="1"/>
                <c:pt idx="0">
                  <c:v>Nee</c:v>
                </c:pt>
              </c:strCache>
            </c:strRef>
          </c:tx>
          <c:cat>
            <c:strRef>
              <c:f>'Q15'!$K$19:$K$22</c:f>
              <c:strCache>
                <c:ptCount val="4"/>
                <c:pt idx="0">
                  <c:v>Archieven (n=38)</c:v>
                </c:pt>
                <c:pt idx="1">
                  <c:v>Bibliotheken (n=8)</c:v>
                </c:pt>
                <c:pt idx="2">
                  <c:v>Musea (n=87)</c:v>
                </c:pt>
                <c:pt idx="3">
                  <c:v>Overig (n=6)</c:v>
                </c:pt>
              </c:strCache>
            </c:strRef>
          </c:cat>
          <c:val>
            <c:numRef>
              <c:f>'Q15'!$M$19:$M$22</c:f>
              <c:numCache>
                <c:formatCode>General</c:formatCode>
                <c:ptCount val="4"/>
                <c:pt idx="0">
                  <c:v>2</c:v>
                </c:pt>
                <c:pt idx="1">
                  <c:v>2</c:v>
                </c:pt>
                <c:pt idx="2">
                  <c:v>38</c:v>
                </c:pt>
                <c:pt idx="3">
                  <c:v>0</c:v>
                </c:pt>
              </c:numCache>
            </c:numRef>
          </c:val>
        </c:ser>
        <c:dLbls>
          <c:showVal val="1"/>
        </c:dLbls>
        <c:gapWidth val="95"/>
        <c:overlap val="100"/>
        <c:axId val="109009536"/>
        <c:axId val="109015424"/>
      </c:barChart>
      <c:catAx>
        <c:axId val="109009536"/>
        <c:scaling>
          <c:orientation val="minMax"/>
        </c:scaling>
        <c:axPos val="b"/>
        <c:majorTickMark val="none"/>
        <c:tickLblPos val="nextTo"/>
        <c:crossAx val="109015424"/>
        <c:crosses val="autoZero"/>
        <c:auto val="1"/>
        <c:lblAlgn val="ctr"/>
        <c:lblOffset val="100"/>
      </c:catAx>
      <c:valAx>
        <c:axId val="109015424"/>
        <c:scaling>
          <c:orientation val="minMax"/>
        </c:scaling>
        <c:delete val="1"/>
        <c:axPos val="l"/>
        <c:numFmt formatCode="0%" sourceLinked="1"/>
        <c:tickLblPos val="none"/>
        <c:crossAx val="109009536"/>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3D artefacten in collectie</a:t>
            </a:r>
          </a:p>
        </c:rich>
      </c:tx>
      <c:layout/>
    </c:title>
    <c:plotArea>
      <c:layout/>
      <c:barChart>
        <c:barDir val="col"/>
        <c:grouping val="percentStacked"/>
        <c:ser>
          <c:idx val="0"/>
          <c:order val="0"/>
          <c:tx>
            <c:strRef>
              <c:f>'Q15'!$L$25</c:f>
              <c:strCache>
                <c:ptCount val="1"/>
                <c:pt idx="0">
                  <c:v>Ja</c:v>
                </c:pt>
              </c:strCache>
            </c:strRef>
          </c:tx>
          <c:cat>
            <c:strRef>
              <c:f>'Q15'!$K$26:$K$29</c:f>
              <c:strCache>
                <c:ptCount val="4"/>
                <c:pt idx="0">
                  <c:v>Archieven (n=38)</c:v>
                </c:pt>
                <c:pt idx="1">
                  <c:v>Bibliotheken (n=8)</c:v>
                </c:pt>
                <c:pt idx="2">
                  <c:v>Musea (n=87)</c:v>
                </c:pt>
                <c:pt idx="3">
                  <c:v>Overig (n=6)</c:v>
                </c:pt>
              </c:strCache>
            </c:strRef>
          </c:cat>
          <c:val>
            <c:numRef>
              <c:f>'Q15'!$L$26:$L$29</c:f>
              <c:numCache>
                <c:formatCode>General</c:formatCode>
                <c:ptCount val="4"/>
                <c:pt idx="0">
                  <c:v>15</c:v>
                </c:pt>
                <c:pt idx="1">
                  <c:v>3</c:v>
                </c:pt>
                <c:pt idx="2">
                  <c:v>71</c:v>
                </c:pt>
                <c:pt idx="3">
                  <c:v>2</c:v>
                </c:pt>
              </c:numCache>
            </c:numRef>
          </c:val>
        </c:ser>
        <c:ser>
          <c:idx val="1"/>
          <c:order val="1"/>
          <c:tx>
            <c:strRef>
              <c:f>'Q15'!$M$25</c:f>
              <c:strCache>
                <c:ptCount val="1"/>
                <c:pt idx="0">
                  <c:v>Nee</c:v>
                </c:pt>
              </c:strCache>
            </c:strRef>
          </c:tx>
          <c:cat>
            <c:strRef>
              <c:f>'Q15'!$K$26:$K$29</c:f>
              <c:strCache>
                <c:ptCount val="4"/>
                <c:pt idx="0">
                  <c:v>Archieven (n=38)</c:v>
                </c:pt>
                <c:pt idx="1">
                  <c:v>Bibliotheken (n=8)</c:v>
                </c:pt>
                <c:pt idx="2">
                  <c:v>Musea (n=87)</c:v>
                </c:pt>
                <c:pt idx="3">
                  <c:v>Overig (n=6)</c:v>
                </c:pt>
              </c:strCache>
            </c:strRef>
          </c:cat>
          <c:val>
            <c:numRef>
              <c:f>'Q15'!$M$26:$M$29</c:f>
              <c:numCache>
                <c:formatCode>General</c:formatCode>
                <c:ptCount val="4"/>
                <c:pt idx="0">
                  <c:v>23</c:v>
                </c:pt>
                <c:pt idx="1">
                  <c:v>5</c:v>
                </c:pt>
                <c:pt idx="2">
                  <c:v>16</c:v>
                </c:pt>
                <c:pt idx="3">
                  <c:v>4</c:v>
                </c:pt>
              </c:numCache>
            </c:numRef>
          </c:val>
        </c:ser>
        <c:dLbls>
          <c:showVal val="1"/>
        </c:dLbls>
        <c:gapWidth val="95"/>
        <c:overlap val="100"/>
        <c:axId val="109127168"/>
        <c:axId val="109128704"/>
      </c:barChart>
      <c:catAx>
        <c:axId val="109127168"/>
        <c:scaling>
          <c:orientation val="minMax"/>
        </c:scaling>
        <c:axPos val="b"/>
        <c:majorTickMark val="none"/>
        <c:tickLblPos val="nextTo"/>
        <c:crossAx val="109128704"/>
        <c:crosses val="autoZero"/>
        <c:auto val="1"/>
        <c:lblAlgn val="ctr"/>
        <c:lblOffset val="100"/>
      </c:catAx>
      <c:valAx>
        <c:axId val="109128704"/>
        <c:scaling>
          <c:orientation val="minMax"/>
        </c:scaling>
        <c:delete val="1"/>
        <c:axPos val="l"/>
        <c:numFmt formatCode="0%" sourceLinked="1"/>
        <c:tickLblPos val="none"/>
        <c:crossAx val="109127168"/>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Natuurlijke</a:t>
            </a:r>
            <a:r>
              <a:rPr lang="nl-NL" baseline="0"/>
              <a:t> specimina in collectie</a:t>
            </a:r>
            <a:endParaRPr lang="nl-NL"/>
          </a:p>
        </c:rich>
      </c:tx>
      <c:layout/>
    </c:title>
    <c:plotArea>
      <c:layout/>
      <c:barChart>
        <c:barDir val="col"/>
        <c:grouping val="percentStacked"/>
        <c:ser>
          <c:idx val="0"/>
          <c:order val="0"/>
          <c:tx>
            <c:strRef>
              <c:f>'Q15'!$L$32</c:f>
              <c:strCache>
                <c:ptCount val="1"/>
                <c:pt idx="0">
                  <c:v>Ja</c:v>
                </c:pt>
              </c:strCache>
            </c:strRef>
          </c:tx>
          <c:cat>
            <c:strRef>
              <c:f>'Q15'!$K$33:$K$36</c:f>
              <c:strCache>
                <c:ptCount val="4"/>
                <c:pt idx="0">
                  <c:v>Archieven (n=38)</c:v>
                </c:pt>
                <c:pt idx="1">
                  <c:v>Bibliotheken (n=8)</c:v>
                </c:pt>
                <c:pt idx="2">
                  <c:v>Musea (n=87)</c:v>
                </c:pt>
                <c:pt idx="3">
                  <c:v>Overig (n=6)</c:v>
                </c:pt>
              </c:strCache>
            </c:strRef>
          </c:cat>
          <c:val>
            <c:numRef>
              <c:f>'Q15'!$L$33:$L$36</c:f>
              <c:numCache>
                <c:formatCode>General</c:formatCode>
                <c:ptCount val="4"/>
                <c:pt idx="0">
                  <c:v>1</c:v>
                </c:pt>
                <c:pt idx="1">
                  <c:v>0</c:v>
                </c:pt>
                <c:pt idx="2">
                  <c:v>18</c:v>
                </c:pt>
                <c:pt idx="3">
                  <c:v>1</c:v>
                </c:pt>
              </c:numCache>
            </c:numRef>
          </c:val>
        </c:ser>
        <c:ser>
          <c:idx val="1"/>
          <c:order val="1"/>
          <c:tx>
            <c:strRef>
              <c:f>'Q15'!$M$32</c:f>
              <c:strCache>
                <c:ptCount val="1"/>
                <c:pt idx="0">
                  <c:v>Nee</c:v>
                </c:pt>
              </c:strCache>
            </c:strRef>
          </c:tx>
          <c:cat>
            <c:strRef>
              <c:f>'Q15'!$K$33:$K$36</c:f>
              <c:strCache>
                <c:ptCount val="4"/>
                <c:pt idx="0">
                  <c:v>Archieven (n=38)</c:v>
                </c:pt>
                <c:pt idx="1">
                  <c:v>Bibliotheken (n=8)</c:v>
                </c:pt>
                <c:pt idx="2">
                  <c:v>Musea (n=87)</c:v>
                </c:pt>
                <c:pt idx="3">
                  <c:v>Overig (n=6)</c:v>
                </c:pt>
              </c:strCache>
            </c:strRef>
          </c:cat>
          <c:val>
            <c:numRef>
              <c:f>'Q15'!$M$33:$M$36</c:f>
              <c:numCache>
                <c:formatCode>General</c:formatCode>
                <c:ptCount val="4"/>
                <c:pt idx="0">
                  <c:v>37</c:v>
                </c:pt>
                <c:pt idx="1">
                  <c:v>8</c:v>
                </c:pt>
                <c:pt idx="2">
                  <c:v>69</c:v>
                </c:pt>
                <c:pt idx="3">
                  <c:v>5</c:v>
                </c:pt>
              </c:numCache>
            </c:numRef>
          </c:val>
        </c:ser>
        <c:dLbls>
          <c:showVal val="1"/>
        </c:dLbls>
        <c:gapWidth val="95"/>
        <c:overlap val="100"/>
        <c:axId val="109166976"/>
        <c:axId val="109168512"/>
      </c:barChart>
      <c:catAx>
        <c:axId val="109166976"/>
        <c:scaling>
          <c:orientation val="minMax"/>
        </c:scaling>
        <c:axPos val="b"/>
        <c:majorTickMark val="none"/>
        <c:tickLblPos val="nextTo"/>
        <c:crossAx val="109168512"/>
        <c:crosses val="autoZero"/>
        <c:auto val="1"/>
        <c:lblAlgn val="ctr"/>
        <c:lblOffset val="100"/>
      </c:catAx>
      <c:valAx>
        <c:axId val="109168512"/>
        <c:scaling>
          <c:orientation val="minMax"/>
        </c:scaling>
        <c:delete val="1"/>
        <c:axPos val="l"/>
        <c:numFmt formatCode="0%" sourceLinked="1"/>
        <c:tickLblPos val="none"/>
        <c:crossAx val="109166976"/>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Audiovisueel in collectie</a:t>
            </a:r>
          </a:p>
        </c:rich>
      </c:tx>
      <c:layout/>
    </c:title>
    <c:plotArea>
      <c:layout/>
      <c:barChart>
        <c:barDir val="col"/>
        <c:grouping val="percentStacked"/>
        <c:ser>
          <c:idx val="0"/>
          <c:order val="0"/>
          <c:tx>
            <c:strRef>
              <c:f>'Q15'!$L$46</c:f>
              <c:strCache>
                <c:ptCount val="1"/>
                <c:pt idx="0">
                  <c:v>Ja</c:v>
                </c:pt>
              </c:strCache>
            </c:strRef>
          </c:tx>
          <c:cat>
            <c:strRef>
              <c:f>'Q15'!$K$47:$K$50</c:f>
              <c:strCache>
                <c:ptCount val="4"/>
                <c:pt idx="0">
                  <c:v>Archieven (n=38)</c:v>
                </c:pt>
                <c:pt idx="1">
                  <c:v>Bibliotheken (n=8)</c:v>
                </c:pt>
                <c:pt idx="2">
                  <c:v>Musea (n=87)</c:v>
                </c:pt>
                <c:pt idx="3">
                  <c:v>Overig (n=6)</c:v>
                </c:pt>
              </c:strCache>
            </c:strRef>
          </c:cat>
          <c:val>
            <c:numRef>
              <c:f>'Q15'!$L$47:$L$50</c:f>
              <c:numCache>
                <c:formatCode>General</c:formatCode>
                <c:ptCount val="4"/>
                <c:pt idx="0">
                  <c:v>26</c:v>
                </c:pt>
                <c:pt idx="1">
                  <c:v>5</c:v>
                </c:pt>
                <c:pt idx="2">
                  <c:v>46</c:v>
                </c:pt>
                <c:pt idx="3">
                  <c:v>5</c:v>
                </c:pt>
              </c:numCache>
            </c:numRef>
          </c:val>
        </c:ser>
        <c:ser>
          <c:idx val="1"/>
          <c:order val="1"/>
          <c:tx>
            <c:strRef>
              <c:f>'Q15'!$M$46</c:f>
              <c:strCache>
                <c:ptCount val="1"/>
                <c:pt idx="0">
                  <c:v>Nee</c:v>
                </c:pt>
              </c:strCache>
            </c:strRef>
          </c:tx>
          <c:cat>
            <c:strRef>
              <c:f>'Q15'!$K$47:$K$50</c:f>
              <c:strCache>
                <c:ptCount val="4"/>
                <c:pt idx="0">
                  <c:v>Archieven (n=38)</c:v>
                </c:pt>
                <c:pt idx="1">
                  <c:v>Bibliotheken (n=8)</c:v>
                </c:pt>
                <c:pt idx="2">
                  <c:v>Musea (n=87)</c:v>
                </c:pt>
                <c:pt idx="3">
                  <c:v>Overig (n=6)</c:v>
                </c:pt>
              </c:strCache>
            </c:strRef>
          </c:cat>
          <c:val>
            <c:numRef>
              <c:f>'Q15'!$M$47:$M$50</c:f>
              <c:numCache>
                <c:formatCode>General</c:formatCode>
                <c:ptCount val="4"/>
                <c:pt idx="0">
                  <c:v>12</c:v>
                </c:pt>
                <c:pt idx="1">
                  <c:v>3</c:v>
                </c:pt>
                <c:pt idx="2">
                  <c:v>41</c:v>
                </c:pt>
                <c:pt idx="3">
                  <c:v>1</c:v>
                </c:pt>
              </c:numCache>
            </c:numRef>
          </c:val>
        </c:ser>
        <c:dLbls>
          <c:showVal val="1"/>
        </c:dLbls>
        <c:gapWidth val="95"/>
        <c:overlap val="100"/>
        <c:axId val="109059072"/>
        <c:axId val="109085440"/>
      </c:barChart>
      <c:catAx>
        <c:axId val="109059072"/>
        <c:scaling>
          <c:orientation val="minMax"/>
        </c:scaling>
        <c:axPos val="b"/>
        <c:majorTickMark val="none"/>
        <c:tickLblPos val="nextTo"/>
        <c:crossAx val="109085440"/>
        <c:crosses val="autoZero"/>
        <c:auto val="1"/>
        <c:lblAlgn val="ctr"/>
        <c:lblOffset val="100"/>
      </c:catAx>
      <c:valAx>
        <c:axId val="109085440"/>
        <c:scaling>
          <c:orientation val="minMax"/>
        </c:scaling>
        <c:delete val="1"/>
        <c:axPos val="l"/>
        <c:numFmt formatCode="0%" sourceLinked="1"/>
        <c:tickLblPos val="none"/>
        <c:crossAx val="109059072"/>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Digitaal interactief</a:t>
            </a:r>
            <a:r>
              <a:rPr lang="nl-NL" baseline="0"/>
              <a:t> in collectie</a:t>
            </a:r>
            <a:endParaRPr lang="nl-NL"/>
          </a:p>
        </c:rich>
      </c:tx>
      <c:layout/>
    </c:title>
    <c:plotArea>
      <c:layout/>
      <c:barChart>
        <c:barDir val="col"/>
        <c:grouping val="percentStacked"/>
        <c:ser>
          <c:idx val="0"/>
          <c:order val="0"/>
          <c:tx>
            <c:strRef>
              <c:f>'Q15'!$L$53</c:f>
              <c:strCache>
                <c:ptCount val="1"/>
                <c:pt idx="0">
                  <c:v>Ja</c:v>
                </c:pt>
              </c:strCache>
            </c:strRef>
          </c:tx>
          <c:cat>
            <c:strRef>
              <c:f>'Q15'!$K$54:$K$57</c:f>
              <c:strCache>
                <c:ptCount val="4"/>
                <c:pt idx="0">
                  <c:v>Archieven (n=38)</c:v>
                </c:pt>
                <c:pt idx="1">
                  <c:v>Bibliotheken (n=8)</c:v>
                </c:pt>
                <c:pt idx="2">
                  <c:v>Musea (n=87)</c:v>
                </c:pt>
                <c:pt idx="3">
                  <c:v>Overig (n=6)</c:v>
                </c:pt>
              </c:strCache>
            </c:strRef>
          </c:cat>
          <c:val>
            <c:numRef>
              <c:f>'Q15'!$L$54:$L$57</c:f>
              <c:numCache>
                <c:formatCode>General</c:formatCode>
                <c:ptCount val="4"/>
                <c:pt idx="0">
                  <c:v>20</c:v>
                </c:pt>
                <c:pt idx="1">
                  <c:v>5</c:v>
                </c:pt>
                <c:pt idx="2">
                  <c:v>38</c:v>
                </c:pt>
                <c:pt idx="3">
                  <c:v>6</c:v>
                </c:pt>
              </c:numCache>
            </c:numRef>
          </c:val>
        </c:ser>
        <c:ser>
          <c:idx val="1"/>
          <c:order val="1"/>
          <c:tx>
            <c:strRef>
              <c:f>'Q15'!$M$53</c:f>
              <c:strCache>
                <c:ptCount val="1"/>
                <c:pt idx="0">
                  <c:v>Nee</c:v>
                </c:pt>
              </c:strCache>
            </c:strRef>
          </c:tx>
          <c:cat>
            <c:strRef>
              <c:f>'Q15'!$K$54:$K$57</c:f>
              <c:strCache>
                <c:ptCount val="4"/>
                <c:pt idx="0">
                  <c:v>Archieven (n=38)</c:v>
                </c:pt>
                <c:pt idx="1">
                  <c:v>Bibliotheken (n=8)</c:v>
                </c:pt>
                <c:pt idx="2">
                  <c:v>Musea (n=87)</c:v>
                </c:pt>
                <c:pt idx="3">
                  <c:v>Overig (n=6)</c:v>
                </c:pt>
              </c:strCache>
            </c:strRef>
          </c:cat>
          <c:val>
            <c:numRef>
              <c:f>'Q15'!$M$54:$M$57</c:f>
              <c:numCache>
                <c:formatCode>General</c:formatCode>
                <c:ptCount val="4"/>
                <c:pt idx="0">
                  <c:v>18</c:v>
                </c:pt>
                <c:pt idx="1">
                  <c:v>3</c:v>
                </c:pt>
                <c:pt idx="2">
                  <c:v>49</c:v>
                </c:pt>
                <c:pt idx="3">
                  <c:v>0</c:v>
                </c:pt>
              </c:numCache>
            </c:numRef>
          </c:val>
        </c:ser>
        <c:dLbls>
          <c:showVal val="1"/>
        </c:dLbls>
        <c:gapWidth val="95"/>
        <c:overlap val="100"/>
        <c:axId val="109258624"/>
        <c:axId val="109260160"/>
      </c:barChart>
      <c:catAx>
        <c:axId val="109258624"/>
        <c:scaling>
          <c:orientation val="minMax"/>
        </c:scaling>
        <c:axPos val="b"/>
        <c:majorTickMark val="none"/>
        <c:tickLblPos val="nextTo"/>
        <c:crossAx val="109260160"/>
        <c:crosses val="autoZero"/>
        <c:auto val="1"/>
        <c:lblAlgn val="ctr"/>
        <c:lblOffset val="100"/>
      </c:catAx>
      <c:valAx>
        <c:axId val="109260160"/>
        <c:scaling>
          <c:orientation val="minMax"/>
        </c:scaling>
        <c:delete val="1"/>
        <c:axPos val="l"/>
        <c:numFmt formatCode="0%" sourceLinked="1"/>
        <c:tickLblPos val="none"/>
        <c:crossAx val="109258624"/>
        <c:crosses val="autoZero"/>
        <c:crossBetween val="between"/>
      </c:valAx>
    </c:plotArea>
    <c:legend>
      <c:legendPos val="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en-US"/>
              <a:t>Collectietypen in archieven (n=38)</a:t>
            </a:r>
          </a:p>
        </c:rich>
      </c:tx>
      <c:layout/>
    </c:title>
    <c:plotArea>
      <c:layout/>
      <c:barChart>
        <c:barDir val="bar"/>
        <c:grouping val="clustered"/>
        <c:ser>
          <c:idx val="0"/>
          <c:order val="0"/>
          <c:tx>
            <c:strRef>
              <c:f>'Q15'!$K$66</c:f>
              <c:strCache>
                <c:ptCount val="1"/>
                <c:pt idx="0">
                  <c:v>Archieven (n=38)</c:v>
                </c:pt>
              </c:strCache>
            </c:strRef>
          </c:tx>
          <c:cat>
            <c:strRef>
              <c:f>'Q15'!$L$65:$S$65</c:f>
              <c:strCache>
                <c:ptCount val="8"/>
                <c:pt idx="0">
                  <c:v>Natuurlijke specimina</c:v>
                </c:pt>
                <c:pt idx="1">
                  <c:v>Locatiegebonden erfgoed</c:v>
                </c:pt>
                <c:pt idx="2">
                  <c:v>3D Artefacten</c:v>
                </c:pt>
                <c:pt idx="3">
                  <c:v>Digitale/interactieve bronnen</c:v>
                </c:pt>
                <c:pt idx="4">
                  <c:v>Audiovisueel ('time based')</c:v>
                </c:pt>
                <c:pt idx="5">
                  <c:v>Tekstuele bronnen</c:v>
                </c:pt>
                <c:pt idx="6">
                  <c:v>Archiefmateriaal</c:v>
                </c:pt>
                <c:pt idx="7">
                  <c:v>Beeldmateriaal (2D)</c:v>
                </c:pt>
              </c:strCache>
            </c:strRef>
          </c:cat>
          <c:val>
            <c:numRef>
              <c:f>'Q15'!$L$66:$S$66</c:f>
              <c:numCache>
                <c:formatCode>0%</c:formatCode>
                <c:ptCount val="8"/>
                <c:pt idx="0">
                  <c:v>2.6315789473684209E-2</c:v>
                </c:pt>
                <c:pt idx="1">
                  <c:v>0.10526315789473684</c:v>
                </c:pt>
                <c:pt idx="2">
                  <c:v>0.39473684210526316</c:v>
                </c:pt>
                <c:pt idx="3">
                  <c:v>0.52631578947368418</c:v>
                </c:pt>
                <c:pt idx="4">
                  <c:v>0.68421052631578949</c:v>
                </c:pt>
                <c:pt idx="5">
                  <c:v>0.89473684210526316</c:v>
                </c:pt>
                <c:pt idx="6">
                  <c:v>0.94736842105263153</c:v>
                </c:pt>
                <c:pt idx="7">
                  <c:v>1</c:v>
                </c:pt>
              </c:numCache>
            </c:numRef>
          </c:val>
        </c:ser>
        <c:dLbls>
          <c:showVal val="1"/>
        </c:dLbls>
        <c:overlap val="-25"/>
        <c:axId val="109272448"/>
        <c:axId val="109298816"/>
      </c:barChart>
      <c:catAx>
        <c:axId val="109272448"/>
        <c:scaling>
          <c:orientation val="minMax"/>
        </c:scaling>
        <c:axPos val="l"/>
        <c:majorTickMark val="none"/>
        <c:tickLblPos val="nextTo"/>
        <c:crossAx val="109298816"/>
        <c:crosses val="autoZero"/>
        <c:auto val="1"/>
        <c:lblAlgn val="ctr"/>
        <c:lblOffset val="100"/>
      </c:catAx>
      <c:valAx>
        <c:axId val="109298816"/>
        <c:scaling>
          <c:orientation val="minMax"/>
        </c:scaling>
        <c:delete val="1"/>
        <c:axPos val="b"/>
        <c:numFmt formatCode="0%" sourceLinked="1"/>
        <c:tickLblPos val="none"/>
        <c:crossAx val="109272448"/>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Respondenten ENUMERATE (NL)</a:t>
            </a:r>
          </a:p>
        </c:rich>
      </c:tx>
    </c:title>
    <c:plotArea>
      <c:layout/>
      <c:barChart>
        <c:barDir val="bar"/>
        <c:grouping val="clustered"/>
        <c:ser>
          <c:idx val="0"/>
          <c:order val="0"/>
          <c:tx>
            <c:strRef>
              <c:f>'Q1-8'!$J$26</c:f>
              <c:strCache>
                <c:ptCount val="1"/>
                <c:pt idx="0">
                  <c:v>2013/2014</c:v>
                </c:pt>
              </c:strCache>
            </c:strRef>
          </c:tx>
          <c:cat>
            <c:strRef>
              <c:f>'Q1-8'!$I$27:$I$30</c:f>
              <c:strCache>
                <c:ptCount val="4"/>
                <c:pt idx="0">
                  <c:v>Overig</c:v>
                </c:pt>
                <c:pt idx="1">
                  <c:v>Bibliotheek</c:v>
                </c:pt>
                <c:pt idx="2">
                  <c:v>Archiefinstelling</c:v>
                </c:pt>
                <c:pt idx="3">
                  <c:v>Museum</c:v>
                </c:pt>
              </c:strCache>
            </c:strRef>
          </c:cat>
          <c:val>
            <c:numRef>
              <c:f>'Q1-8'!$J$27:$J$30</c:f>
              <c:numCache>
                <c:formatCode>General</c:formatCode>
                <c:ptCount val="4"/>
                <c:pt idx="0">
                  <c:v>6</c:v>
                </c:pt>
                <c:pt idx="1">
                  <c:v>9</c:v>
                </c:pt>
                <c:pt idx="2">
                  <c:v>39</c:v>
                </c:pt>
                <c:pt idx="3">
                  <c:v>89</c:v>
                </c:pt>
              </c:numCache>
            </c:numRef>
          </c:val>
        </c:ser>
        <c:ser>
          <c:idx val="1"/>
          <c:order val="1"/>
          <c:tx>
            <c:strRef>
              <c:f>'Q1-8'!$K$26</c:f>
              <c:strCache>
                <c:ptCount val="1"/>
                <c:pt idx="0">
                  <c:v>2012/2013</c:v>
                </c:pt>
              </c:strCache>
            </c:strRef>
          </c:tx>
          <c:cat>
            <c:strRef>
              <c:f>'Q1-8'!$I$27:$I$30</c:f>
              <c:strCache>
                <c:ptCount val="4"/>
                <c:pt idx="0">
                  <c:v>Overig</c:v>
                </c:pt>
                <c:pt idx="1">
                  <c:v>Bibliotheek</c:v>
                </c:pt>
                <c:pt idx="2">
                  <c:v>Archiefinstelling</c:v>
                </c:pt>
                <c:pt idx="3">
                  <c:v>Museum</c:v>
                </c:pt>
              </c:strCache>
            </c:strRef>
          </c:cat>
          <c:val>
            <c:numRef>
              <c:f>'Q1-8'!$K$27:$K$30</c:f>
              <c:numCache>
                <c:formatCode>General</c:formatCode>
                <c:ptCount val="4"/>
                <c:pt idx="0">
                  <c:v>5</c:v>
                </c:pt>
                <c:pt idx="1">
                  <c:v>13</c:v>
                </c:pt>
                <c:pt idx="2">
                  <c:v>30</c:v>
                </c:pt>
                <c:pt idx="3">
                  <c:v>93</c:v>
                </c:pt>
              </c:numCache>
            </c:numRef>
          </c:val>
        </c:ser>
        <c:dLbls>
          <c:showVal val="1"/>
        </c:dLbls>
        <c:overlap val="-25"/>
        <c:axId val="106534400"/>
        <c:axId val="106535936"/>
      </c:barChart>
      <c:catAx>
        <c:axId val="106534400"/>
        <c:scaling>
          <c:orientation val="minMax"/>
        </c:scaling>
        <c:axPos val="l"/>
        <c:majorTickMark val="none"/>
        <c:tickLblPos val="nextTo"/>
        <c:crossAx val="106535936"/>
        <c:crosses val="autoZero"/>
        <c:auto val="1"/>
        <c:lblAlgn val="ctr"/>
        <c:lblOffset val="100"/>
      </c:catAx>
      <c:valAx>
        <c:axId val="106535936"/>
        <c:scaling>
          <c:orientation val="minMax"/>
        </c:scaling>
        <c:delete val="1"/>
        <c:axPos val="b"/>
        <c:numFmt formatCode="General" sourceLinked="1"/>
        <c:tickLblPos val="none"/>
        <c:crossAx val="106534400"/>
        <c:crosses val="autoZero"/>
        <c:crossBetween val="between"/>
      </c:valAx>
    </c:plotArea>
    <c:legend>
      <c:legendPos val="t"/>
    </c:legend>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nl-NL"/>
  <c:style val="5"/>
  <c:chart>
    <c:title>
      <c:tx>
        <c:rich>
          <a:bodyPr/>
          <a:lstStyle/>
          <a:p>
            <a:pPr>
              <a:defRPr/>
            </a:pPr>
            <a:r>
              <a:rPr lang="en-US"/>
              <a:t>Collectietypen in bibliotheken (n=8)</a:t>
            </a:r>
          </a:p>
        </c:rich>
      </c:tx>
      <c:layout/>
    </c:title>
    <c:plotArea>
      <c:layout/>
      <c:barChart>
        <c:barDir val="bar"/>
        <c:grouping val="clustered"/>
        <c:ser>
          <c:idx val="0"/>
          <c:order val="0"/>
          <c:tx>
            <c:strRef>
              <c:f>'Q15'!$K$69</c:f>
              <c:strCache>
                <c:ptCount val="1"/>
                <c:pt idx="0">
                  <c:v>Bibliotheken (n=8)</c:v>
                </c:pt>
              </c:strCache>
            </c:strRef>
          </c:tx>
          <c:cat>
            <c:strRef>
              <c:f>'Q15'!$L$68:$S$68</c:f>
              <c:strCache>
                <c:ptCount val="8"/>
                <c:pt idx="0">
                  <c:v>Natuurlijke specimina</c:v>
                </c:pt>
                <c:pt idx="1">
                  <c:v>Locatiegebonden erfgoed</c:v>
                </c:pt>
                <c:pt idx="2">
                  <c:v>3D Artefacten</c:v>
                </c:pt>
                <c:pt idx="3">
                  <c:v>Audiovisueel ('time based')</c:v>
                </c:pt>
                <c:pt idx="4">
                  <c:v>Digitale/interactieve bronnen</c:v>
                </c:pt>
                <c:pt idx="5">
                  <c:v>Archiefmateriaal</c:v>
                </c:pt>
                <c:pt idx="6">
                  <c:v>Beeldmateriaal (2D)</c:v>
                </c:pt>
                <c:pt idx="7">
                  <c:v>Tekstuele bronnen</c:v>
                </c:pt>
              </c:strCache>
            </c:strRef>
          </c:cat>
          <c:val>
            <c:numRef>
              <c:f>'Q15'!$L$69:$S$69</c:f>
              <c:numCache>
                <c:formatCode>0%</c:formatCode>
                <c:ptCount val="8"/>
                <c:pt idx="0">
                  <c:v>0</c:v>
                </c:pt>
                <c:pt idx="1">
                  <c:v>0.25</c:v>
                </c:pt>
                <c:pt idx="2">
                  <c:v>0.375</c:v>
                </c:pt>
                <c:pt idx="3">
                  <c:v>0.625</c:v>
                </c:pt>
                <c:pt idx="4">
                  <c:v>0.625</c:v>
                </c:pt>
                <c:pt idx="5">
                  <c:v>0.75</c:v>
                </c:pt>
                <c:pt idx="6">
                  <c:v>0.875</c:v>
                </c:pt>
                <c:pt idx="7">
                  <c:v>1</c:v>
                </c:pt>
              </c:numCache>
            </c:numRef>
          </c:val>
        </c:ser>
        <c:dLbls>
          <c:showVal val="1"/>
        </c:dLbls>
        <c:overlap val="-25"/>
        <c:axId val="109200128"/>
        <c:axId val="109201664"/>
      </c:barChart>
      <c:catAx>
        <c:axId val="109200128"/>
        <c:scaling>
          <c:orientation val="minMax"/>
        </c:scaling>
        <c:axPos val="l"/>
        <c:majorTickMark val="none"/>
        <c:tickLblPos val="nextTo"/>
        <c:crossAx val="109201664"/>
        <c:crosses val="autoZero"/>
        <c:auto val="1"/>
        <c:lblAlgn val="ctr"/>
        <c:lblOffset val="100"/>
      </c:catAx>
      <c:valAx>
        <c:axId val="109201664"/>
        <c:scaling>
          <c:orientation val="minMax"/>
        </c:scaling>
        <c:delete val="1"/>
        <c:axPos val="b"/>
        <c:numFmt formatCode="0%" sourceLinked="1"/>
        <c:tickLblPos val="none"/>
        <c:crossAx val="109200128"/>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nl-NL"/>
  <c:style val="6"/>
  <c:chart>
    <c:title>
      <c:tx>
        <c:rich>
          <a:bodyPr/>
          <a:lstStyle/>
          <a:p>
            <a:pPr>
              <a:defRPr/>
            </a:pPr>
            <a:r>
              <a:rPr lang="en-US"/>
              <a:t>Collectietypen in musea (n=87)</a:t>
            </a:r>
          </a:p>
        </c:rich>
      </c:tx>
      <c:layout/>
    </c:title>
    <c:plotArea>
      <c:layout/>
      <c:barChart>
        <c:barDir val="bar"/>
        <c:grouping val="clustered"/>
        <c:ser>
          <c:idx val="0"/>
          <c:order val="0"/>
          <c:tx>
            <c:strRef>
              <c:f>'Q15'!$K$72</c:f>
              <c:strCache>
                <c:ptCount val="1"/>
                <c:pt idx="0">
                  <c:v>Musea (n=87)</c:v>
                </c:pt>
              </c:strCache>
            </c:strRef>
          </c:tx>
          <c:cat>
            <c:strRef>
              <c:f>'Q15'!$L$71:$S$71</c:f>
              <c:strCache>
                <c:ptCount val="8"/>
                <c:pt idx="0">
                  <c:v>Natuurlijke specimina</c:v>
                </c:pt>
                <c:pt idx="1">
                  <c:v>Locatiegebonden erfgoed</c:v>
                </c:pt>
                <c:pt idx="2">
                  <c:v>Digitale/interactieve bronnen</c:v>
                </c:pt>
                <c:pt idx="3">
                  <c:v>Audiovisueel ('time based')</c:v>
                </c:pt>
                <c:pt idx="4">
                  <c:v>Archiefmateriaal</c:v>
                </c:pt>
                <c:pt idx="5">
                  <c:v>Tekstuele bronnen</c:v>
                </c:pt>
                <c:pt idx="6">
                  <c:v>3D Artefacten</c:v>
                </c:pt>
                <c:pt idx="7">
                  <c:v>Beeldmateriaal (2D)</c:v>
                </c:pt>
              </c:strCache>
            </c:strRef>
          </c:cat>
          <c:val>
            <c:numRef>
              <c:f>'Q15'!$L$72:$S$72</c:f>
              <c:numCache>
                <c:formatCode>0%</c:formatCode>
                <c:ptCount val="8"/>
                <c:pt idx="0">
                  <c:v>0.20689655172413793</c:v>
                </c:pt>
                <c:pt idx="1">
                  <c:v>0.37931034482758619</c:v>
                </c:pt>
                <c:pt idx="2">
                  <c:v>0.43678160919540232</c:v>
                </c:pt>
                <c:pt idx="3">
                  <c:v>0.52873563218390807</c:v>
                </c:pt>
                <c:pt idx="4">
                  <c:v>0.56321839080459768</c:v>
                </c:pt>
                <c:pt idx="5">
                  <c:v>0.7816091954022989</c:v>
                </c:pt>
                <c:pt idx="6">
                  <c:v>0.81609195402298851</c:v>
                </c:pt>
                <c:pt idx="7">
                  <c:v>0.90804597701149425</c:v>
                </c:pt>
              </c:numCache>
            </c:numRef>
          </c:val>
        </c:ser>
        <c:dLbls>
          <c:showVal val="1"/>
        </c:dLbls>
        <c:overlap val="-25"/>
        <c:axId val="109229952"/>
        <c:axId val="109231488"/>
      </c:barChart>
      <c:catAx>
        <c:axId val="109229952"/>
        <c:scaling>
          <c:orientation val="minMax"/>
        </c:scaling>
        <c:axPos val="l"/>
        <c:majorTickMark val="none"/>
        <c:tickLblPos val="nextTo"/>
        <c:crossAx val="109231488"/>
        <c:crosses val="autoZero"/>
        <c:auto val="1"/>
        <c:lblAlgn val="ctr"/>
        <c:lblOffset val="100"/>
      </c:catAx>
      <c:valAx>
        <c:axId val="109231488"/>
        <c:scaling>
          <c:orientation val="minMax"/>
        </c:scaling>
        <c:delete val="1"/>
        <c:axPos val="b"/>
        <c:numFmt formatCode="0%" sourceLinked="1"/>
        <c:tickLblPos val="none"/>
        <c:crossAx val="109229952"/>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nl-NL"/>
  <c:style val="8"/>
  <c:chart>
    <c:title>
      <c:tx>
        <c:rich>
          <a:bodyPr/>
          <a:lstStyle/>
          <a:p>
            <a:pPr>
              <a:defRPr/>
            </a:pPr>
            <a:r>
              <a:rPr lang="en-US"/>
              <a:t>Collectietypen in overige erfgoedinstellingen (n=6)</a:t>
            </a:r>
          </a:p>
        </c:rich>
      </c:tx>
      <c:layout/>
    </c:title>
    <c:plotArea>
      <c:layout/>
      <c:barChart>
        <c:barDir val="bar"/>
        <c:grouping val="clustered"/>
        <c:ser>
          <c:idx val="0"/>
          <c:order val="0"/>
          <c:tx>
            <c:strRef>
              <c:f>'Q15'!$K$75</c:f>
              <c:strCache>
                <c:ptCount val="1"/>
                <c:pt idx="0">
                  <c:v>Overig (n=6)</c:v>
                </c:pt>
              </c:strCache>
            </c:strRef>
          </c:tx>
          <c:cat>
            <c:strRef>
              <c:f>'Q15'!$L$74:$S$74</c:f>
              <c:strCache>
                <c:ptCount val="8"/>
                <c:pt idx="0">
                  <c:v>Natuurlijke specimina</c:v>
                </c:pt>
                <c:pt idx="1">
                  <c:v>3D Artefacten</c:v>
                </c:pt>
                <c:pt idx="2">
                  <c:v>Locatiegebonden erfgoed</c:v>
                </c:pt>
                <c:pt idx="3">
                  <c:v>Tekstuele bronnen</c:v>
                </c:pt>
                <c:pt idx="4">
                  <c:v>Audiovisueel ('time based')</c:v>
                </c:pt>
                <c:pt idx="5">
                  <c:v>Archiefmateriaal</c:v>
                </c:pt>
                <c:pt idx="6">
                  <c:v>Beeldmateriaal (2D)</c:v>
                </c:pt>
                <c:pt idx="7">
                  <c:v>Digitale/interactieve bronnen</c:v>
                </c:pt>
              </c:strCache>
            </c:strRef>
          </c:cat>
          <c:val>
            <c:numRef>
              <c:f>'Q15'!$L$75:$S$75</c:f>
              <c:numCache>
                <c:formatCode>0%</c:formatCode>
                <c:ptCount val="8"/>
                <c:pt idx="0">
                  <c:v>0.16666666666666666</c:v>
                </c:pt>
                <c:pt idx="1">
                  <c:v>0.33333333333333331</c:v>
                </c:pt>
                <c:pt idx="2">
                  <c:v>0.33333333333333331</c:v>
                </c:pt>
                <c:pt idx="3">
                  <c:v>0.83333333333333337</c:v>
                </c:pt>
                <c:pt idx="4">
                  <c:v>0.83333333333333337</c:v>
                </c:pt>
                <c:pt idx="5">
                  <c:v>1</c:v>
                </c:pt>
                <c:pt idx="6">
                  <c:v>1</c:v>
                </c:pt>
                <c:pt idx="7">
                  <c:v>1</c:v>
                </c:pt>
              </c:numCache>
            </c:numRef>
          </c:val>
        </c:ser>
        <c:dLbls>
          <c:showVal val="1"/>
        </c:dLbls>
        <c:overlap val="-25"/>
        <c:axId val="109317120"/>
        <c:axId val="109331200"/>
      </c:barChart>
      <c:catAx>
        <c:axId val="109317120"/>
        <c:scaling>
          <c:orientation val="minMax"/>
        </c:scaling>
        <c:axPos val="l"/>
        <c:majorTickMark val="none"/>
        <c:tickLblPos val="nextTo"/>
        <c:crossAx val="109331200"/>
        <c:crosses val="autoZero"/>
        <c:auto val="1"/>
        <c:lblAlgn val="ctr"/>
        <c:lblOffset val="100"/>
      </c:catAx>
      <c:valAx>
        <c:axId val="109331200"/>
        <c:scaling>
          <c:orientation val="minMax"/>
        </c:scaling>
        <c:delete val="1"/>
        <c:axPos val="b"/>
        <c:numFmt formatCode="0%" sourceLinked="1"/>
        <c:tickLblPos val="none"/>
        <c:crossAx val="109317120"/>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Welke</a:t>
            </a:r>
            <a:r>
              <a:rPr lang="nl-NL" baseline="0"/>
              <a:t> collectietypen beheren de erfgoedinstellingen? </a:t>
            </a:r>
          </a:p>
          <a:p>
            <a:pPr>
              <a:defRPr/>
            </a:pPr>
            <a:r>
              <a:rPr lang="nl-NL" baseline="0"/>
              <a:t>(n=139)</a:t>
            </a:r>
            <a:endParaRPr lang="nl-NL"/>
          </a:p>
        </c:rich>
      </c:tx>
      <c:layout/>
    </c:title>
    <c:plotArea>
      <c:layout/>
      <c:barChart>
        <c:barDir val="bar"/>
        <c:grouping val="clustered"/>
        <c:ser>
          <c:idx val="0"/>
          <c:order val="0"/>
          <c:cat>
            <c:strRef>
              <c:f>'Q15'!$X$4:$X$11</c:f>
              <c:strCache>
                <c:ptCount val="8"/>
                <c:pt idx="0">
                  <c:v>Natuurlijke specimina</c:v>
                </c:pt>
                <c:pt idx="1">
                  <c:v>Locatiegebonden erfgoed</c:v>
                </c:pt>
                <c:pt idx="2">
                  <c:v>Digitale/interactieve bronnen</c:v>
                </c:pt>
                <c:pt idx="3">
                  <c:v>Audiovisueel ('time based')</c:v>
                </c:pt>
                <c:pt idx="4">
                  <c:v>3D Artefacten</c:v>
                </c:pt>
                <c:pt idx="5">
                  <c:v>Archiefmateriaal</c:v>
                </c:pt>
                <c:pt idx="6">
                  <c:v>Tekstuele bronnen</c:v>
                </c:pt>
                <c:pt idx="7">
                  <c:v>Beeldmateriaal (2D)</c:v>
                </c:pt>
              </c:strCache>
            </c:strRef>
          </c:cat>
          <c:val>
            <c:numRef>
              <c:f>'Q15'!$Y$4:$Y$11</c:f>
              <c:numCache>
                <c:formatCode>0%</c:formatCode>
                <c:ptCount val="8"/>
                <c:pt idx="0">
                  <c:v>0.14388489208633093</c:v>
                </c:pt>
                <c:pt idx="1">
                  <c:v>0.29496402877697842</c:v>
                </c:pt>
                <c:pt idx="2">
                  <c:v>0.49640287769784175</c:v>
                </c:pt>
                <c:pt idx="3">
                  <c:v>0.58992805755395683</c:v>
                </c:pt>
                <c:pt idx="4">
                  <c:v>0.65467625899280579</c:v>
                </c:pt>
                <c:pt idx="5">
                  <c:v>0.69784172661870503</c:v>
                </c:pt>
                <c:pt idx="6">
                  <c:v>0.82733812949640284</c:v>
                </c:pt>
                <c:pt idx="7">
                  <c:v>0.93525179856115104</c:v>
                </c:pt>
              </c:numCache>
            </c:numRef>
          </c:val>
        </c:ser>
        <c:dLbls>
          <c:showVal val="1"/>
        </c:dLbls>
        <c:overlap val="-25"/>
        <c:axId val="109457792"/>
        <c:axId val="109459328"/>
      </c:barChart>
      <c:catAx>
        <c:axId val="109457792"/>
        <c:scaling>
          <c:orientation val="minMax"/>
        </c:scaling>
        <c:axPos val="l"/>
        <c:majorTickMark val="none"/>
        <c:tickLblPos val="nextTo"/>
        <c:crossAx val="109459328"/>
        <c:crosses val="autoZero"/>
        <c:auto val="1"/>
        <c:lblAlgn val="ctr"/>
        <c:lblOffset val="100"/>
      </c:catAx>
      <c:valAx>
        <c:axId val="109459328"/>
        <c:scaling>
          <c:orientation val="minMax"/>
        </c:scaling>
        <c:delete val="1"/>
        <c:axPos val="b"/>
        <c:numFmt formatCode="0%" sourceLinked="1"/>
        <c:tickLblPos val="none"/>
        <c:crossAx val="109457792"/>
        <c:crosses val="autoZero"/>
        <c:crossBetween val="between"/>
      </c:valAx>
    </c:plotArea>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Type tekstuele</a:t>
            </a:r>
            <a:r>
              <a:rPr lang="nl-NL" baseline="0"/>
              <a:t> bronnen bij respondenten (n=139)</a:t>
            </a:r>
            <a:endParaRPr lang="nl-NL"/>
          </a:p>
        </c:rich>
      </c:tx>
      <c:layout/>
    </c:title>
    <c:plotArea>
      <c:layout/>
      <c:barChart>
        <c:barDir val="bar"/>
        <c:grouping val="clustered"/>
        <c:ser>
          <c:idx val="0"/>
          <c:order val="0"/>
          <c:tx>
            <c:strRef>
              <c:f>Q15a!$B$126</c:f>
              <c:strCache>
                <c:ptCount val="1"/>
                <c:pt idx="0">
                  <c:v>% aanwezigheid digitale collectie</c:v>
                </c:pt>
              </c:strCache>
            </c:strRef>
          </c:tx>
          <c:cat>
            <c:strRef>
              <c:f>Q15a!$A$127:$A$136</c:f>
              <c:strCache>
                <c:ptCount val="10"/>
                <c:pt idx="0">
                  <c:v>E-books</c:v>
                </c:pt>
                <c:pt idx="1">
                  <c:v>Middeleeuwse handschriften</c:v>
                </c:pt>
                <c:pt idx="2">
                  <c:v>Microforms en/of microfiches</c:v>
                </c:pt>
                <c:pt idx="3">
                  <c:v>Overige handschriften</c:v>
                </c:pt>
                <c:pt idx="4">
                  <c:v>Kranten</c:v>
                </c:pt>
                <c:pt idx="5">
                  <c:v>Wetenschappelijke tijdschriften</c:v>
                </c:pt>
                <c:pt idx="6">
                  <c:v>Overige tekstuele materialen</c:v>
                </c:pt>
                <c:pt idx="7">
                  <c:v>Overige tijdschriften</c:v>
                </c:pt>
                <c:pt idx="8">
                  <c:v>Zeldzame (gedrukte) boeken</c:v>
                </c:pt>
                <c:pt idx="9">
                  <c:v>Overige gedrukte boeken</c:v>
                </c:pt>
              </c:strCache>
            </c:strRef>
          </c:cat>
          <c:val>
            <c:numRef>
              <c:f>Q15a!$B$127:$B$136</c:f>
              <c:numCache>
                <c:formatCode>0</c:formatCode>
                <c:ptCount val="10"/>
                <c:pt idx="0">
                  <c:v>12</c:v>
                </c:pt>
                <c:pt idx="1">
                  <c:v>12</c:v>
                </c:pt>
                <c:pt idx="2">
                  <c:v>17</c:v>
                </c:pt>
                <c:pt idx="3">
                  <c:v>15</c:v>
                </c:pt>
                <c:pt idx="4">
                  <c:v>24</c:v>
                </c:pt>
                <c:pt idx="5">
                  <c:v>9</c:v>
                </c:pt>
                <c:pt idx="6">
                  <c:v>22</c:v>
                </c:pt>
                <c:pt idx="7">
                  <c:v>11</c:v>
                </c:pt>
                <c:pt idx="8">
                  <c:v>17</c:v>
                </c:pt>
                <c:pt idx="9">
                  <c:v>17</c:v>
                </c:pt>
              </c:numCache>
            </c:numRef>
          </c:val>
        </c:ser>
        <c:ser>
          <c:idx val="1"/>
          <c:order val="1"/>
          <c:tx>
            <c:strRef>
              <c:f>Q15a!$C$126</c:f>
              <c:strCache>
                <c:ptCount val="1"/>
                <c:pt idx="0">
                  <c:v>% aanwezigheid fysieke collectie</c:v>
                </c:pt>
              </c:strCache>
            </c:strRef>
          </c:tx>
          <c:cat>
            <c:strRef>
              <c:f>Q15a!$A$127:$A$136</c:f>
              <c:strCache>
                <c:ptCount val="10"/>
                <c:pt idx="0">
                  <c:v>E-books</c:v>
                </c:pt>
                <c:pt idx="1">
                  <c:v>Middeleeuwse handschriften</c:v>
                </c:pt>
                <c:pt idx="2">
                  <c:v>Microforms en/of microfiches</c:v>
                </c:pt>
                <c:pt idx="3">
                  <c:v>Overige handschriften</c:v>
                </c:pt>
                <c:pt idx="4">
                  <c:v>Kranten</c:v>
                </c:pt>
                <c:pt idx="5">
                  <c:v>Wetenschappelijke tijdschriften</c:v>
                </c:pt>
                <c:pt idx="6">
                  <c:v>Overige tekstuele materialen</c:v>
                </c:pt>
                <c:pt idx="7">
                  <c:v>Overige tijdschriften</c:v>
                </c:pt>
                <c:pt idx="8">
                  <c:v>Zeldzame (gedrukte) boeken</c:v>
                </c:pt>
                <c:pt idx="9">
                  <c:v>Overige gedrukte boeken</c:v>
                </c:pt>
              </c:strCache>
            </c:strRef>
          </c:cat>
          <c:val>
            <c:numRef>
              <c:f>Q15a!$C$127:$C$136</c:f>
              <c:numCache>
                <c:formatCode>0</c:formatCode>
                <c:ptCount val="10"/>
                <c:pt idx="0">
                  <c:v>0</c:v>
                </c:pt>
                <c:pt idx="1">
                  <c:v>24</c:v>
                </c:pt>
                <c:pt idx="2">
                  <c:v>37</c:v>
                </c:pt>
                <c:pt idx="3">
                  <c:v>47</c:v>
                </c:pt>
                <c:pt idx="4">
                  <c:v>48</c:v>
                </c:pt>
                <c:pt idx="5">
                  <c:v>48</c:v>
                </c:pt>
                <c:pt idx="6">
                  <c:v>55</c:v>
                </c:pt>
                <c:pt idx="7">
                  <c:v>63</c:v>
                </c:pt>
                <c:pt idx="8">
                  <c:v>68</c:v>
                </c:pt>
                <c:pt idx="9">
                  <c:v>77</c:v>
                </c:pt>
              </c:numCache>
            </c:numRef>
          </c:val>
        </c:ser>
        <c:dLbls>
          <c:showVal val="1"/>
        </c:dLbls>
        <c:overlap val="-25"/>
        <c:axId val="109382656"/>
        <c:axId val="109421312"/>
      </c:barChart>
      <c:catAx>
        <c:axId val="109382656"/>
        <c:scaling>
          <c:orientation val="minMax"/>
        </c:scaling>
        <c:axPos val="l"/>
        <c:majorTickMark val="none"/>
        <c:tickLblPos val="nextTo"/>
        <c:crossAx val="109421312"/>
        <c:crosses val="autoZero"/>
        <c:auto val="1"/>
        <c:lblAlgn val="ctr"/>
        <c:lblOffset val="100"/>
      </c:catAx>
      <c:valAx>
        <c:axId val="109421312"/>
        <c:scaling>
          <c:orientation val="minMax"/>
        </c:scaling>
        <c:delete val="1"/>
        <c:axPos val="b"/>
        <c:numFmt formatCode="0" sourceLinked="1"/>
        <c:majorTickMark val="none"/>
        <c:tickLblPos val="none"/>
        <c:crossAx val="109382656"/>
        <c:crosses val="autoZero"/>
        <c:crossBetween val="between"/>
      </c:valAx>
    </c:plotArea>
    <c:legend>
      <c:legendPos val="t"/>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visuele 2D bronnen bij respondenten (n=139)</a:t>
            </a:r>
          </a:p>
        </c:rich>
      </c:tx>
      <c:layout/>
    </c:title>
    <c:plotArea>
      <c:layout/>
      <c:barChart>
        <c:barDir val="bar"/>
        <c:grouping val="clustered"/>
        <c:ser>
          <c:idx val="0"/>
          <c:order val="0"/>
          <c:tx>
            <c:strRef>
              <c:f>Q15b!$B$137</c:f>
              <c:strCache>
                <c:ptCount val="1"/>
                <c:pt idx="0">
                  <c:v>% aanwezigheid digitale collectie</c:v>
                </c:pt>
              </c:strCache>
            </c:strRef>
          </c:tx>
          <c:cat>
            <c:strRef>
              <c:f>Q15b!$A$138:$A$145</c:f>
              <c:strCache>
                <c:ptCount val="8"/>
                <c:pt idx="0">
                  <c:v>Bladmuziek</c:v>
                </c:pt>
                <c:pt idx="1">
                  <c:v>Overige visuele (2D) objecten</c:v>
                </c:pt>
                <c:pt idx="2">
                  <c:v>Posters</c:v>
                </c:pt>
                <c:pt idx="3">
                  <c:v>Schilderijen</c:v>
                </c:pt>
                <c:pt idx="4">
                  <c:v>Kaarten en plattegronden</c:v>
                </c:pt>
                <c:pt idx="5">
                  <c:v>Graveerwerk / prenten</c:v>
                </c:pt>
                <c:pt idx="6">
                  <c:v>Tekeningen</c:v>
                </c:pt>
                <c:pt idx="7">
                  <c:v>Foto’s</c:v>
                </c:pt>
              </c:strCache>
            </c:strRef>
          </c:cat>
          <c:val>
            <c:numRef>
              <c:f>Q15b!$B$138:$B$145</c:f>
              <c:numCache>
                <c:formatCode>0</c:formatCode>
                <c:ptCount val="8"/>
                <c:pt idx="0">
                  <c:v>9</c:v>
                </c:pt>
                <c:pt idx="1">
                  <c:v>22</c:v>
                </c:pt>
                <c:pt idx="2">
                  <c:v>29</c:v>
                </c:pt>
                <c:pt idx="3">
                  <c:v>34</c:v>
                </c:pt>
                <c:pt idx="4">
                  <c:v>39</c:v>
                </c:pt>
                <c:pt idx="5">
                  <c:v>44</c:v>
                </c:pt>
                <c:pt idx="6">
                  <c:v>44</c:v>
                </c:pt>
                <c:pt idx="7">
                  <c:v>65</c:v>
                </c:pt>
              </c:numCache>
            </c:numRef>
          </c:val>
        </c:ser>
        <c:ser>
          <c:idx val="1"/>
          <c:order val="1"/>
          <c:tx>
            <c:strRef>
              <c:f>Q15b!$C$137</c:f>
              <c:strCache>
                <c:ptCount val="1"/>
                <c:pt idx="0">
                  <c:v>% aanwezigheid fysieke collectie</c:v>
                </c:pt>
              </c:strCache>
            </c:strRef>
          </c:tx>
          <c:cat>
            <c:strRef>
              <c:f>Q15b!$A$138:$A$145</c:f>
              <c:strCache>
                <c:ptCount val="8"/>
                <c:pt idx="0">
                  <c:v>Bladmuziek</c:v>
                </c:pt>
                <c:pt idx="1">
                  <c:v>Overige visuele (2D) objecten</c:v>
                </c:pt>
                <c:pt idx="2">
                  <c:v>Posters</c:v>
                </c:pt>
                <c:pt idx="3">
                  <c:v>Schilderijen</c:v>
                </c:pt>
                <c:pt idx="4">
                  <c:v>Kaarten en plattegronden</c:v>
                </c:pt>
                <c:pt idx="5">
                  <c:v>Graveerwerk / prenten</c:v>
                </c:pt>
                <c:pt idx="6">
                  <c:v>Tekeningen</c:v>
                </c:pt>
                <c:pt idx="7">
                  <c:v>Foto’s</c:v>
                </c:pt>
              </c:strCache>
            </c:strRef>
          </c:cat>
          <c:val>
            <c:numRef>
              <c:f>Q15b!$C$138:$C$145</c:f>
              <c:numCache>
                <c:formatCode>0</c:formatCode>
                <c:ptCount val="8"/>
                <c:pt idx="0">
                  <c:v>24</c:v>
                </c:pt>
                <c:pt idx="1">
                  <c:v>40</c:v>
                </c:pt>
                <c:pt idx="2">
                  <c:v>56</c:v>
                </c:pt>
                <c:pt idx="3">
                  <c:v>64</c:v>
                </c:pt>
                <c:pt idx="4">
                  <c:v>65</c:v>
                </c:pt>
                <c:pt idx="5">
                  <c:v>70</c:v>
                </c:pt>
                <c:pt idx="6">
                  <c:v>76</c:v>
                </c:pt>
                <c:pt idx="7">
                  <c:v>78</c:v>
                </c:pt>
              </c:numCache>
            </c:numRef>
          </c:val>
        </c:ser>
        <c:dLbls>
          <c:showVal val="1"/>
        </c:dLbls>
        <c:overlap val="-25"/>
        <c:axId val="109586688"/>
        <c:axId val="109600768"/>
      </c:barChart>
      <c:catAx>
        <c:axId val="109586688"/>
        <c:scaling>
          <c:orientation val="minMax"/>
        </c:scaling>
        <c:axPos val="l"/>
        <c:majorTickMark val="none"/>
        <c:tickLblPos val="nextTo"/>
        <c:crossAx val="109600768"/>
        <c:crosses val="autoZero"/>
        <c:auto val="1"/>
        <c:lblAlgn val="ctr"/>
        <c:lblOffset val="100"/>
      </c:catAx>
      <c:valAx>
        <c:axId val="109600768"/>
        <c:scaling>
          <c:orientation val="minMax"/>
        </c:scaling>
        <c:delete val="1"/>
        <c:axPos val="b"/>
        <c:numFmt formatCode="0" sourceLinked="1"/>
        <c:majorTickMark val="none"/>
        <c:tickLblPos val="none"/>
        <c:crossAx val="109586688"/>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archiefmateriaal  </a:t>
            </a:r>
          </a:p>
          <a:p>
            <a:pPr>
              <a:defRPr/>
            </a:pPr>
            <a:r>
              <a:rPr lang="nl-NL" sz="1800" b="1" i="0" baseline="0"/>
              <a:t>bij respondenten (n=139)</a:t>
            </a:r>
            <a:endParaRPr lang="nl-NL"/>
          </a:p>
        </c:rich>
      </c:tx>
      <c:layout/>
    </c:title>
    <c:plotArea>
      <c:layout/>
      <c:barChart>
        <c:barDir val="bar"/>
        <c:grouping val="clustered"/>
        <c:ser>
          <c:idx val="0"/>
          <c:order val="0"/>
          <c:tx>
            <c:strRef>
              <c:f>Q15c!$B$106</c:f>
              <c:strCache>
                <c:ptCount val="1"/>
                <c:pt idx="0">
                  <c:v>% aanwezigheid digitale collectie</c:v>
                </c:pt>
              </c:strCache>
            </c:strRef>
          </c:tx>
          <c:cat>
            <c:strRef>
              <c:f>Q15c!$A$107:$A$108</c:f>
              <c:strCache>
                <c:ptCount val="2"/>
                <c:pt idx="0">
                  <c:v>Archieven: Overheidsdocumenten</c:v>
                </c:pt>
                <c:pt idx="1">
                  <c:v>Archieven: Overige archivalia</c:v>
                </c:pt>
              </c:strCache>
            </c:strRef>
          </c:cat>
          <c:val>
            <c:numRef>
              <c:f>Q15c!$B$107:$B$108</c:f>
              <c:numCache>
                <c:formatCode>0</c:formatCode>
                <c:ptCount val="2"/>
                <c:pt idx="0">
                  <c:v>26</c:v>
                </c:pt>
                <c:pt idx="1">
                  <c:v>39</c:v>
                </c:pt>
              </c:numCache>
            </c:numRef>
          </c:val>
        </c:ser>
        <c:ser>
          <c:idx val="1"/>
          <c:order val="1"/>
          <c:tx>
            <c:strRef>
              <c:f>Q15c!$C$106</c:f>
              <c:strCache>
                <c:ptCount val="1"/>
                <c:pt idx="0">
                  <c:v>% aanwezigheid fysieke collectie</c:v>
                </c:pt>
              </c:strCache>
            </c:strRef>
          </c:tx>
          <c:cat>
            <c:strRef>
              <c:f>Q15c!$A$107:$A$108</c:f>
              <c:strCache>
                <c:ptCount val="2"/>
                <c:pt idx="0">
                  <c:v>Archieven: Overheidsdocumenten</c:v>
                </c:pt>
                <c:pt idx="1">
                  <c:v>Archieven: Overige archivalia</c:v>
                </c:pt>
              </c:strCache>
            </c:strRef>
          </c:cat>
          <c:val>
            <c:numRef>
              <c:f>Q15c!$C$107:$C$108</c:f>
              <c:numCache>
                <c:formatCode>0</c:formatCode>
                <c:ptCount val="2"/>
                <c:pt idx="0">
                  <c:v>36</c:v>
                </c:pt>
                <c:pt idx="1">
                  <c:v>63</c:v>
                </c:pt>
              </c:numCache>
            </c:numRef>
          </c:val>
        </c:ser>
        <c:dLbls>
          <c:showVal val="1"/>
        </c:dLbls>
        <c:overlap val="-25"/>
        <c:axId val="109696512"/>
        <c:axId val="109698048"/>
      </c:barChart>
      <c:catAx>
        <c:axId val="109696512"/>
        <c:scaling>
          <c:orientation val="minMax"/>
        </c:scaling>
        <c:axPos val="l"/>
        <c:majorTickMark val="none"/>
        <c:tickLblPos val="nextTo"/>
        <c:crossAx val="109698048"/>
        <c:crosses val="autoZero"/>
        <c:auto val="1"/>
        <c:lblAlgn val="ctr"/>
        <c:lblOffset val="100"/>
      </c:catAx>
      <c:valAx>
        <c:axId val="109698048"/>
        <c:scaling>
          <c:orientation val="minMax"/>
        </c:scaling>
        <c:delete val="1"/>
        <c:axPos val="b"/>
        <c:numFmt formatCode="0" sourceLinked="1"/>
        <c:tickLblPos val="none"/>
        <c:crossAx val="109696512"/>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3-dimensionale door de mens gemaakte objecten bij respondenten (n=139)</a:t>
            </a:r>
            <a:endParaRPr lang="nl-NL"/>
          </a:p>
        </c:rich>
      </c:tx>
      <c:layout/>
    </c:title>
    <c:plotArea>
      <c:layout/>
      <c:barChart>
        <c:barDir val="bar"/>
        <c:grouping val="clustered"/>
        <c:ser>
          <c:idx val="0"/>
          <c:order val="0"/>
          <c:tx>
            <c:strRef>
              <c:f>Q15d!$B$97</c:f>
              <c:strCache>
                <c:ptCount val="1"/>
                <c:pt idx="0">
                  <c:v>% aanwezigheid digitale collectie</c:v>
                </c:pt>
              </c:strCache>
            </c:strRef>
          </c:tx>
          <c:cat>
            <c:strRef>
              <c:f>Q15d!$A$98:$A$102</c:f>
              <c:strCache>
                <c:ptCount val="5"/>
                <c:pt idx="0">
                  <c:v>Archaeologische gebruiksvoorwerpen</c:v>
                </c:pt>
                <c:pt idx="1">
                  <c:v>3-dimensionale kunstwerken</c:v>
                </c:pt>
                <c:pt idx="2">
                  <c:v>Munten en penningen</c:v>
                </c:pt>
                <c:pt idx="3">
                  <c:v>Overige 3-dimensionale door de mens gemaakte objecten</c:v>
                </c:pt>
                <c:pt idx="4">
                  <c:v>Overige gebruiksvoorwerpen</c:v>
                </c:pt>
              </c:strCache>
            </c:strRef>
          </c:cat>
          <c:val>
            <c:numRef>
              <c:f>Q15d!$B$98:$B$102</c:f>
              <c:numCache>
                <c:formatCode>0</c:formatCode>
                <c:ptCount val="5"/>
                <c:pt idx="0">
                  <c:v>11</c:v>
                </c:pt>
                <c:pt idx="1">
                  <c:v>19</c:v>
                </c:pt>
                <c:pt idx="2">
                  <c:v>17</c:v>
                </c:pt>
                <c:pt idx="3">
                  <c:v>18</c:v>
                </c:pt>
                <c:pt idx="4">
                  <c:v>24</c:v>
                </c:pt>
              </c:numCache>
            </c:numRef>
          </c:val>
        </c:ser>
        <c:ser>
          <c:idx val="1"/>
          <c:order val="1"/>
          <c:tx>
            <c:strRef>
              <c:f>Q15d!$C$97</c:f>
              <c:strCache>
                <c:ptCount val="1"/>
                <c:pt idx="0">
                  <c:v>% aanwezigheid fysieke collectie</c:v>
                </c:pt>
              </c:strCache>
            </c:strRef>
          </c:tx>
          <c:cat>
            <c:strRef>
              <c:f>Q15d!$A$98:$A$102</c:f>
              <c:strCache>
                <c:ptCount val="5"/>
                <c:pt idx="0">
                  <c:v>Archaeologische gebruiksvoorwerpen</c:v>
                </c:pt>
                <c:pt idx="1">
                  <c:v>3-dimensionale kunstwerken</c:v>
                </c:pt>
                <c:pt idx="2">
                  <c:v>Munten en penningen</c:v>
                </c:pt>
                <c:pt idx="3">
                  <c:v>Overige 3-dimensionale door de mens gemaakte objecten</c:v>
                </c:pt>
                <c:pt idx="4">
                  <c:v>Overige gebruiksvoorwerpen</c:v>
                </c:pt>
              </c:strCache>
            </c:strRef>
          </c:cat>
          <c:val>
            <c:numRef>
              <c:f>Q15d!$C$98:$C$102</c:f>
              <c:numCache>
                <c:formatCode>0</c:formatCode>
                <c:ptCount val="5"/>
                <c:pt idx="0">
                  <c:v>27</c:v>
                </c:pt>
                <c:pt idx="1">
                  <c:v>41</c:v>
                </c:pt>
                <c:pt idx="2">
                  <c:v>42</c:v>
                </c:pt>
                <c:pt idx="3">
                  <c:v>47</c:v>
                </c:pt>
                <c:pt idx="4">
                  <c:v>52</c:v>
                </c:pt>
              </c:numCache>
            </c:numRef>
          </c:val>
        </c:ser>
        <c:dLbls>
          <c:showVal val="1"/>
        </c:dLbls>
        <c:overlap val="-25"/>
        <c:axId val="109556480"/>
        <c:axId val="109558016"/>
      </c:barChart>
      <c:catAx>
        <c:axId val="109556480"/>
        <c:scaling>
          <c:orientation val="minMax"/>
        </c:scaling>
        <c:axPos val="l"/>
        <c:majorTickMark val="none"/>
        <c:tickLblPos val="nextTo"/>
        <c:crossAx val="109558016"/>
        <c:crosses val="autoZero"/>
        <c:auto val="1"/>
        <c:lblAlgn val="ctr"/>
        <c:lblOffset val="100"/>
      </c:catAx>
      <c:valAx>
        <c:axId val="109558016"/>
        <c:scaling>
          <c:orientation val="minMax"/>
        </c:scaling>
        <c:delete val="1"/>
        <c:axPos val="b"/>
        <c:numFmt formatCode="0" sourceLinked="1"/>
        <c:tickLblPos val="none"/>
        <c:crossAx val="109556480"/>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natuurobjecten bij respondenten (n=139)</a:t>
            </a:r>
          </a:p>
        </c:rich>
      </c:tx>
      <c:layout/>
    </c:title>
    <c:plotArea>
      <c:layout/>
      <c:barChart>
        <c:barDir val="bar"/>
        <c:grouping val="clustered"/>
        <c:ser>
          <c:idx val="0"/>
          <c:order val="0"/>
          <c:tx>
            <c:strRef>
              <c:f>Q15e!$B$29</c:f>
              <c:strCache>
                <c:ptCount val="1"/>
                <c:pt idx="0">
                  <c:v>% aanwezigheid digitale collectie</c:v>
                </c:pt>
              </c:strCache>
            </c:strRef>
          </c:tx>
          <c:cat>
            <c:strRef>
              <c:f>Q15e!$A$30:$A$31</c:f>
              <c:strCache>
                <c:ptCount val="2"/>
                <c:pt idx="0">
                  <c:v>Planten en dieren</c:v>
                </c:pt>
                <c:pt idx="1">
                  <c:v>Objecten van anorganisch materiaal</c:v>
                </c:pt>
              </c:strCache>
            </c:strRef>
          </c:cat>
          <c:val>
            <c:numRef>
              <c:f>Q15e!$B$30:$B$31</c:f>
              <c:numCache>
                <c:formatCode>0</c:formatCode>
                <c:ptCount val="2"/>
                <c:pt idx="0">
                  <c:v>4</c:v>
                </c:pt>
                <c:pt idx="1">
                  <c:v>4</c:v>
                </c:pt>
              </c:numCache>
            </c:numRef>
          </c:val>
        </c:ser>
        <c:ser>
          <c:idx val="1"/>
          <c:order val="1"/>
          <c:tx>
            <c:strRef>
              <c:f>Q15e!$C$29</c:f>
              <c:strCache>
                <c:ptCount val="1"/>
                <c:pt idx="0">
                  <c:v>% aanwezigheid fysieke collectie</c:v>
                </c:pt>
              </c:strCache>
            </c:strRef>
          </c:tx>
          <c:cat>
            <c:strRef>
              <c:f>Q15e!$A$30:$A$31</c:f>
              <c:strCache>
                <c:ptCount val="2"/>
                <c:pt idx="0">
                  <c:v>Planten en dieren</c:v>
                </c:pt>
                <c:pt idx="1">
                  <c:v>Objecten van anorganisch materiaal</c:v>
                </c:pt>
              </c:strCache>
            </c:strRef>
          </c:cat>
          <c:val>
            <c:numRef>
              <c:f>Q15e!$C$30:$C$31</c:f>
              <c:numCache>
                <c:formatCode>0</c:formatCode>
                <c:ptCount val="2"/>
                <c:pt idx="0">
                  <c:v>9</c:v>
                </c:pt>
                <c:pt idx="1">
                  <c:v>10</c:v>
                </c:pt>
              </c:numCache>
            </c:numRef>
          </c:val>
        </c:ser>
        <c:dLbls>
          <c:showVal val="1"/>
        </c:dLbls>
        <c:overlap val="-25"/>
        <c:axId val="109768704"/>
        <c:axId val="109770240"/>
      </c:barChart>
      <c:catAx>
        <c:axId val="109768704"/>
        <c:scaling>
          <c:orientation val="minMax"/>
        </c:scaling>
        <c:axPos val="l"/>
        <c:majorTickMark val="none"/>
        <c:tickLblPos val="nextTo"/>
        <c:crossAx val="109770240"/>
        <c:crosses val="autoZero"/>
        <c:auto val="1"/>
        <c:lblAlgn val="ctr"/>
        <c:lblOffset val="100"/>
      </c:catAx>
      <c:valAx>
        <c:axId val="109770240"/>
        <c:scaling>
          <c:orientation val="minMax"/>
        </c:scaling>
        <c:delete val="1"/>
        <c:axPos val="b"/>
        <c:numFmt formatCode="0" sourceLinked="1"/>
        <c:tickLblPos val="none"/>
        <c:crossAx val="109768704"/>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locatiegebonden erfgoed bij respondenten (n=139)</a:t>
            </a:r>
            <a:endParaRPr lang="nl-NL"/>
          </a:p>
        </c:rich>
      </c:tx>
      <c:layout/>
    </c:title>
    <c:plotArea>
      <c:layout/>
      <c:barChart>
        <c:barDir val="bar"/>
        <c:grouping val="clustered"/>
        <c:ser>
          <c:idx val="0"/>
          <c:order val="0"/>
          <c:tx>
            <c:strRef>
              <c:f>Q15f!$B$49</c:f>
              <c:strCache>
                <c:ptCount val="1"/>
                <c:pt idx="0">
                  <c:v>% aanwezigheid digitale collectie</c:v>
                </c:pt>
              </c:strCache>
            </c:strRef>
          </c:tx>
          <c:cat>
            <c:strRef>
              <c:f>Q15f!$A$50:$A$53</c:f>
              <c:strCache>
                <c:ptCount val="4"/>
                <c:pt idx="0">
                  <c:v>Archeologische sites</c:v>
                </c:pt>
                <c:pt idx="1">
                  <c:v>Landschappen</c:v>
                </c:pt>
                <c:pt idx="2">
                  <c:v>Overig locatie-gebonden erfgoed</c:v>
                </c:pt>
                <c:pt idx="3">
                  <c:v>Monumenten en andere bouwwerken</c:v>
                </c:pt>
              </c:strCache>
            </c:strRef>
          </c:cat>
          <c:val>
            <c:numRef>
              <c:f>Q15f!$B$50:$B$53</c:f>
              <c:numCache>
                <c:formatCode>0</c:formatCode>
                <c:ptCount val="4"/>
                <c:pt idx="0">
                  <c:v>1</c:v>
                </c:pt>
                <c:pt idx="1">
                  <c:v>2</c:v>
                </c:pt>
                <c:pt idx="2">
                  <c:v>3</c:v>
                </c:pt>
                <c:pt idx="3">
                  <c:v>4</c:v>
                </c:pt>
              </c:numCache>
            </c:numRef>
          </c:val>
        </c:ser>
        <c:ser>
          <c:idx val="1"/>
          <c:order val="1"/>
          <c:tx>
            <c:strRef>
              <c:f>Q15f!$C$49</c:f>
              <c:strCache>
                <c:ptCount val="1"/>
                <c:pt idx="0">
                  <c:v>% aanwezigheid fysieke collectie</c:v>
                </c:pt>
              </c:strCache>
            </c:strRef>
          </c:tx>
          <c:cat>
            <c:strRef>
              <c:f>Q15f!$A$50:$A$53</c:f>
              <c:strCache>
                <c:ptCount val="4"/>
                <c:pt idx="0">
                  <c:v>Archeologische sites</c:v>
                </c:pt>
                <c:pt idx="1">
                  <c:v>Landschappen</c:v>
                </c:pt>
                <c:pt idx="2">
                  <c:v>Overig locatie-gebonden erfgoed</c:v>
                </c:pt>
                <c:pt idx="3">
                  <c:v>Monumenten en andere bouwwerken</c:v>
                </c:pt>
              </c:strCache>
            </c:strRef>
          </c:cat>
          <c:val>
            <c:numRef>
              <c:f>Q15f!$C$50:$C$53</c:f>
              <c:numCache>
                <c:formatCode>0</c:formatCode>
                <c:ptCount val="4"/>
                <c:pt idx="0">
                  <c:v>3</c:v>
                </c:pt>
                <c:pt idx="1">
                  <c:v>5</c:v>
                </c:pt>
                <c:pt idx="2">
                  <c:v>12</c:v>
                </c:pt>
                <c:pt idx="3">
                  <c:v>18</c:v>
                </c:pt>
              </c:numCache>
            </c:numRef>
          </c:val>
        </c:ser>
        <c:dLbls>
          <c:showVal val="1"/>
        </c:dLbls>
        <c:overlap val="-25"/>
        <c:axId val="109812736"/>
        <c:axId val="109835008"/>
      </c:barChart>
      <c:catAx>
        <c:axId val="109812736"/>
        <c:scaling>
          <c:orientation val="minMax"/>
        </c:scaling>
        <c:axPos val="l"/>
        <c:majorTickMark val="none"/>
        <c:tickLblPos val="nextTo"/>
        <c:crossAx val="109835008"/>
        <c:crosses val="autoZero"/>
        <c:auto val="1"/>
        <c:lblAlgn val="ctr"/>
        <c:lblOffset val="100"/>
      </c:catAx>
      <c:valAx>
        <c:axId val="109835008"/>
        <c:scaling>
          <c:orientation val="minMax"/>
        </c:scaling>
        <c:delete val="1"/>
        <c:axPos val="b"/>
        <c:numFmt formatCode="0" sourceLinked="1"/>
        <c:tickLblPos val="none"/>
        <c:crossAx val="109812736"/>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a:t>Typering van respondenten (n=143)</a:t>
            </a:r>
          </a:p>
        </c:rich>
      </c:tx>
    </c:title>
    <c:plotArea>
      <c:layout/>
      <c:pieChart>
        <c:varyColors val="1"/>
        <c:ser>
          <c:idx val="0"/>
          <c:order val="0"/>
          <c:tx>
            <c:strRef>
              <c:f>'Q1-8'!$J$34</c:f>
              <c:strCache>
                <c:ptCount val="1"/>
                <c:pt idx="0">
                  <c:v>2013</c:v>
                </c:pt>
              </c:strCache>
            </c:strRef>
          </c:tx>
          <c:dLbls>
            <c:showPercent val="1"/>
            <c:showLeaderLines val="1"/>
          </c:dLbls>
          <c:cat>
            <c:strRef>
              <c:f>'Q1-8'!$I$35:$I$41</c:f>
              <c:strCache>
                <c:ptCount val="7"/>
                <c:pt idx="0">
                  <c:v>Museum</c:v>
                </c:pt>
                <c:pt idx="1">
                  <c:v>Archiefinstelling</c:v>
                </c:pt>
                <c:pt idx="2">
                  <c:v>Bibliotheek</c:v>
                </c:pt>
                <c:pt idx="3">
                  <c:v>AV/Film</c:v>
                </c:pt>
                <c:pt idx="4">
                  <c:v>Monumentenzorg</c:v>
                </c:pt>
                <c:pt idx="5">
                  <c:v>Podiumkunsten</c:v>
                </c:pt>
                <c:pt idx="6">
                  <c:v>Data-archief</c:v>
                </c:pt>
              </c:strCache>
            </c:strRef>
          </c:cat>
          <c:val>
            <c:numRef>
              <c:f>'Q1-8'!$J$35:$J$41</c:f>
              <c:numCache>
                <c:formatCode>General</c:formatCode>
                <c:ptCount val="7"/>
                <c:pt idx="0">
                  <c:v>89</c:v>
                </c:pt>
                <c:pt idx="1">
                  <c:v>39</c:v>
                </c:pt>
                <c:pt idx="2">
                  <c:v>9</c:v>
                </c:pt>
                <c:pt idx="3">
                  <c:v>2</c:v>
                </c:pt>
                <c:pt idx="4">
                  <c:v>2</c:v>
                </c:pt>
                <c:pt idx="5">
                  <c:v>1</c:v>
                </c:pt>
                <c:pt idx="6">
                  <c:v>1</c:v>
                </c:pt>
              </c:numCache>
            </c:numRef>
          </c:val>
        </c:ser>
        <c:dLbls>
          <c:showPercent val="1"/>
        </c:dLbls>
        <c:firstSliceAng val="0"/>
      </c:pieChart>
    </c:plotArea>
    <c:legend>
      <c:legendPos val="r"/>
    </c:legend>
    <c:plotVisOnly val="1"/>
    <c:dispBlanksAs val="zero"/>
  </c:chart>
  <c:printSettings>
    <c:headerFooter/>
    <c:pageMargins b="0.75000000000000133" l="0.70000000000000062" r="0.70000000000000062" t="0.750000000000001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audiovisuele collecties ('time based') bij respondenten (n=139)</a:t>
            </a:r>
          </a:p>
        </c:rich>
      </c:tx>
      <c:layout/>
    </c:title>
    <c:plotArea>
      <c:layout/>
      <c:barChart>
        <c:barDir val="bar"/>
        <c:grouping val="clustered"/>
        <c:ser>
          <c:idx val="0"/>
          <c:order val="0"/>
          <c:tx>
            <c:strRef>
              <c:f>Q15g!$B$91</c:f>
              <c:strCache>
                <c:ptCount val="1"/>
                <c:pt idx="0">
                  <c:v>% aanwezigheid digitale collectie</c:v>
                </c:pt>
              </c:strCache>
            </c:strRef>
          </c:tx>
          <c:cat>
            <c:strRef>
              <c:f>Q15g!$A$92:$A$97</c:f>
              <c:strCache>
                <c:ptCount val="6"/>
                <c:pt idx="0">
                  <c:v>Digitale audio boeken</c:v>
                </c:pt>
                <c:pt idx="1">
                  <c:v>Overig time-based</c:v>
                </c:pt>
                <c:pt idx="2">
                  <c:v>Audio-opnamen: muziek</c:v>
                </c:pt>
                <c:pt idx="3">
                  <c:v>Audio-opnamen: spraak</c:v>
                </c:pt>
                <c:pt idx="4">
                  <c:v>Film</c:v>
                </c:pt>
                <c:pt idx="5">
                  <c:v>Video-opnamen</c:v>
                </c:pt>
              </c:strCache>
            </c:strRef>
          </c:cat>
          <c:val>
            <c:numRef>
              <c:f>Q15g!$B$92:$B$97</c:f>
              <c:numCache>
                <c:formatCode>0</c:formatCode>
                <c:ptCount val="6"/>
                <c:pt idx="0">
                  <c:v>2</c:v>
                </c:pt>
                <c:pt idx="1">
                  <c:v>9</c:v>
                </c:pt>
                <c:pt idx="2">
                  <c:v>15</c:v>
                </c:pt>
                <c:pt idx="3">
                  <c:v>25</c:v>
                </c:pt>
                <c:pt idx="4">
                  <c:v>40</c:v>
                </c:pt>
                <c:pt idx="5">
                  <c:v>40</c:v>
                </c:pt>
              </c:numCache>
            </c:numRef>
          </c:val>
        </c:ser>
        <c:ser>
          <c:idx val="1"/>
          <c:order val="1"/>
          <c:tx>
            <c:strRef>
              <c:f>Q15g!$C$91</c:f>
              <c:strCache>
                <c:ptCount val="1"/>
                <c:pt idx="0">
                  <c:v>% aanwezigheid fysieke collectie</c:v>
                </c:pt>
              </c:strCache>
            </c:strRef>
          </c:tx>
          <c:cat>
            <c:strRef>
              <c:f>Q15g!$A$92:$A$97</c:f>
              <c:strCache>
                <c:ptCount val="6"/>
                <c:pt idx="0">
                  <c:v>Digitale audio boeken</c:v>
                </c:pt>
                <c:pt idx="1">
                  <c:v>Overig time-based</c:v>
                </c:pt>
                <c:pt idx="2">
                  <c:v>Audio-opnamen: muziek</c:v>
                </c:pt>
                <c:pt idx="3">
                  <c:v>Audio-opnamen: spraak</c:v>
                </c:pt>
                <c:pt idx="4">
                  <c:v>Film</c:v>
                </c:pt>
                <c:pt idx="5">
                  <c:v>Video-opnamen</c:v>
                </c:pt>
              </c:strCache>
            </c:strRef>
          </c:cat>
          <c:val>
            <c:numRef>
              <c:f>Q15g!$C$92:$C$97</c:f>
              <c:numCache>
                <c:formatCode>0</c:formatCode>
                <c:ptCount val="6"/>
                <c:pt idx="0">
                  <c:v>0</c:v>
                </c:pt>
                <c:pt idx="1">
                  <c:v>14</c:v>
                </c:pt>
                <c:pt idx="2">
                  <c:v>30</c:v>
                </c:pt>
                <c:pt idx="3">
                  <c:v>38</c:v>
                </c:pt>
                <c:pt idx="4">
                  <c:v>47</c:v>
                </c:pt>
                <c:pt idx="5">
                  <c:v>47</c:v>
                </c:pt>
              </c:numCache>
            </c:numRef>
          </c:val>
        </c:ser>
        <c:dLbls>
          <c:showVal val="1"/>
        </c:dLbls>
        <c:overlap val="-25"/>
        <c:axId val="109971712"/>
        <c:axId val="109977600"/>
      </c:barChart>
      <c:catAx>
        <c:axId val="109971712"/>
        <c:scaling>
          <c:orientation val="minMax"/>
        </c:scaling>
        <c:axPos val="l"/>
        <c:majorTickMark val="none"/>
        <c:tickLblPos val="nextTo"/>
        <c:crossAx val="109977600"/>
        <c:crosses val="autoZero"/>
        <c:auto val="1"/>
        <c:lblAlgn val="ctr"/>
        <c:lblOffset val="100"/>
      </c:catAx>
      <c:valAx>
        <c:axId val="109977600"/>
        <c:scaling>
          <c:orientation val="minMax"/>
        </c:scaling>
        <c:delete val="1"/>
        <c:axPos val="b"/>
        <c:numFmt formatCode="0" sourceLinked="1"/>
        <c:tickLblPos val="none"/>
        <c:crossAx val="109971712"/>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Typen digitaal interactieve bronnen bij respondenten (n=139)</a:t>
            </a:r>
          </a:p>
        </c:rich>
      </c:tx>
      <c:layout/>
    </c:title>
    <c:plotArea>
      <c:layout/>
      <c:barChart>
        <c:barDir val="bar"/>
        <c:grouping val="clustered"/>
        <c:ser>
          <c:idx val="0"/>
          <c:order val="0"/>
          <c:tx>
            <c:strRef>
              <c:f>Q15h!$B$79</c:f>
              <c:strCache>
                <c:ptCount val="1"/>
                <c:pt idx="0">
                  <c:v>% instellingen met digitale collectie</c:v>
                </c:pt>
              </c:strCache>
            </c:strRef>
          </c:tx>
          <c:cat>
            <c:strRef>
              <c:f>Q15h!$A$80:$A$87</c:f>
              <c:strCache>
                <c:ptCount val="8"/>
                <c:pt idx="0">
                  <c:v>Games</c:v>
                </c:pt>
                <c:pt idx="1">
                  <c:v>Born-digital kunstwerken</c:v>
                </c:pt>
                <c:pt idx="2">
                  <c:v>Digitale 3D-ontwerpen/reconstructies</c:v>
                </c:pt>
                <c:pt idx="3">
                  <c:v>Overige digitaal interactieve bronnen</c:v>
                </c:pt>
                <c:pt idx="4">
                  <c:v>Software (incl. maakwerk)</c:v>
                </c:pt>
                <c:pt idx="5">
                  <c:v>Digitale onderzoeksbestanden (incl. GIS)</c:v>
                </c:pt>
                <c:pt idx="6">
                  <c:v>(Onderdelen van) websites</c:v>
                </c:pt>
                <c:pt idx="7">
                  <c:v>Databases (met erfgoedinformatie)</c:v>
                </c:pt>
              </c:strCache>
            </c:strRef>
          </c:cat>
          <c:val>
            <c:numRef>
              <c:f>Q15h!$B$80:$B$87</c:f>
              <c:numCache>
                <c:formatCode>0</c:formatCode>
                <c:ptCount val="8"/>
                <c:pt idx="0">
                  <c:v>3</c:v>
                </c:pt>
                <c:pt idx="1">
                  <c:v>6</c:v>
                </c:pt>
                <c:pt idx="2">
                  <c:v>8</c:v>
                </c:pt>
                <c:pt idx="3">
                  <c:v>12</c:v>
                </c:pt>
                <c:pt idx="4">
                  <c:v>15</c:v>
                </c:pt>
                <c:pt idx="5">
                  <c:v>21</c:v>
                </c:pt>
                <c:pt idx="6">
                  <c:v>32</c:v>
                </c:pt>
                <c:pt idx="7">
                  <c:v>42</c:v>
                </c:pt>
              </c:numCache>
            </c:numRef>
          </c:val>
        </c:ser>
        <c:dLbls>
          <c:showVal val="1"/>
        </c:dLbls>
        <c:overlap val="-25"/>
        <c:axId val="110018944"/>
        <c:axId val="110020480"/>
      </c:barChart>
      <c:catAx>
        <c:axId val="110018944"/>
        <c:scaling>
          <c:orientation val="minMax"/>
        </c:scaling>
        <c:axPos val="l"/>
        <c:majorTickMark val="none"/>
        <c:tickLblPos val="nextTo"/>
        <c:crossAx val="110020480"/>
        <c:crosses val="autoZero"/>
        <c:auto val="1"/>
        <c:lblAlgn val="ctr"/>
        <c:lblOffset val="100"/>
      </c:catAx>
      <c:valAx>
        <c:axId val="110020480"/>
        <c:scaling>
          <c:orientation val="minMax"/>
        </c:scaling>
        <c:delete val="1"/>
        <c:axPos val="b"/>
        <c:numFmt formatCode="0" sourceLinked="1"/>
        <c:tickLblPos val="none"/>
        <c:crossAx val="110018944"/>
        <c:crosses val="autoZero"/>
        <c:crossBetween val="between"/>
      </c:valAx>
    </c:plotArea>
    <c:legend>
      <c:legendPos val="t"/>
      <c:layout/>
    </c:legend>
    <c:plotVisOnly val="1"/>
  </c:chart>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Welke typen fysieke collecties komen het meeste voor bij de respondenten? (n=139)</a:t>
            </a:r>
            <a:endParaRPr lang="nl-NL"/>
          </a:p>
        </c:rich>
      </c:tx>
      <c:layout/>
    </c:title>
    <c:plotArea>
      <c:layout/>
      <c:barChart>
        <c:barDir val="bar"/>
        <c:grouping val="clustered"/>
        <c:ser>
          <c:idx val="0"/>
          <c:order val="0"/>
          <c:tx>
            <c:strRef>
              <c:f>Q15totaal!$B$5</c:f>
              <c:strCache>
                <c:ptCount val="1"/>
                <c:pt idx="0">
                  <c:v>% instellingen met fysieke collectie</c:v>
                </c:pt>
              </c:strCache>
            </c:strRef>
          </c:tx>
          <c:cat>
            <c:strRef>
              <c:f>Q15totaal!$A$6:$A$40</c:f>
              <c:strCache>
                <c:ptCount val="35"/>
                <c:pt idx="0">
                  <c:v>Archeologische sites</c:v>
                </c:pt>
                <c:pt idx="1">
                  <c:v>Landschappen</c:v>
                </c:pt>
                <c:pt idx="2">
                  <c:v>Planten en dieren</c:v>
                </c:pt>
                <c:pt idx="3">
                  <c:v>Objecten van anorganisch materiaal</c:v>
                </c:pt>
                <c:pt idx="4">
                  <c:v>Overig locatie-gebonden erfgoed</c:v>
                </c:pt>
                <c:pt idx="5">
                  <c:v>Overig time-based</c:v>
                </c:pt>
                <c:pt idx="6">
                  <c:v>Monumenten en andere bouwwerken</c:v>
                </c:pt>
                <c:pt idx="7">
                  <c:v>Middeleeuwse handschriften</c:v>
                </c:pt>
                <c:pt idx="8">
                  <c:v>Bladmuziek</c:v>
                </c:pt>
                <c:pt idx="9">
                  <c:v>Archaeologische gebruiksvoorwerpen</c:v>
                </c:pt>
                <c:pt idx="10">
                  <c:v>Audio-opnamen: muziek</c:v>
                </c:pt>
                <c:pt idx="11">
                  <c:v>Archieven: Overheidsdocumenten</c:v>
                </c:pt>
                <c:pt idx="12">
                  <c:v>Microforms en/of microfiches</c:v>
                </c:pt>
                <c:pt idx="13">
                  <c:v>Audio-opnamen: spraak</c:v>
                </c:pt>
                <c:pt idx="14">
                  <c:v>Overige visuele (2D) objecten</c:v>
                </c:pt>
                <c:pt idx="15">
                  <c:v>3-dimensionale kunstwerken</c:v>
                </c:pt>
                <c:pt idx="16">
                  <c:v>Munten en penningen</c:v>
                </c:pt>
                <c:pt idx="17">
                  <c:v>Overige handschriften</c:v>
                </c:pt>
                <c:pt idx="18">
                  <c:v>Overige 3-dimensionale door de mens gemaakte objecten</c:v>
                </c:pt>
                <c:pt idx="19">
                  <c:v>Film</c:v>
                </c:pt>
                <c:pt idx="20">
                  <c:v>Video-opnamen</c:v>
                </c:pt>
                <c:pt idx="21">
                  <c:v>Kranten</c:v>
                </c:pt>
                <c:pt idx="22">
                  <c:v>Wetenschappelijke tijdschriften</c:v>
                </c:pt>
                <c:pt idx="23">
                  <c:v>Overige gebruiksvoorwerpen</c:v>
                </c:pt>
                <c:pt idx="24">
                  <c:v>Overige tekstuele materialen</c:v>
                </c:pt>
                <c:pt idx="25">
                  <c:v>Posters</c:v>
                </c:pt>
                <c:pt idx="26">
                  <c:v>Overige tijdschriften</c:v>
                </c:pt>
                <c:pt idx="27">
                  <c:v>Archieven: Overige archivalia</c:v>
                </c:pt>
                <c:pt idx="28">
                  <c:v>Schilderijen</c:v>
                </c:pt>
                <c:pt idx="29">
                  <c:v>Kaarten en plattegronden</c:v>
                </c:pt>
                <c:pt idx="30">
                  <c:v>Zeldzame (gedrukte) boeken</c:v>
                </c:pt>
                <c:pt idx="31">
                  <c:v>Graveerwerk / prenten</c:v>
                </c:pt>
                <c:pt idx="32">
                  <c:v>Tekeningen</c:v>
                </c:pt>
                <c:pt idx="33">
                  <c:v>Overige gedrukte boeken</c:v>
                </c:pt>
                <c:pt idx="34">
                  <c:v>Foto’s</c:v>
                </c:pt>
              </c:strCache>
            </c:strRef>
          </c:cat>
          <c:val>
            <c:numRef>
              <c:f>Q15totaal!$B$6:$B$40</c:f>
              <c:numCache>
                <c:formatCode>0</c:formatCode>
                <c:ptCount val="35"/>
                <c:pt idx="0">
                  <c:v>3</c:v>
                </c:pt>
                <c:pt idx="1">
                  <c:v>5</c:v>
                </c:pt>
                <c:pt idx="2">
                  <c:v>9</c:v>
                </c:pt>
                <c:pt idx="3">
                  <c:v>10</c:v>
                </c:pt>
                <c:pt idx="4">
                  <c:v>12</c:v>
                </c:pt>
                <c:pt idx="5">
                  <c:v>14</c:v>
                </c:pt>
                <c:pt idx="6">
                  <c:v>18</c:v>
                </c:pt>
                <c:pt idx="7">
                  <c:v>24</c:v>
                </c:pt>
                <c:pt idx="8">
                  <c:v>24</c:v>
                </c:pt>
                <c:pt idx="9">
                  <c:v>27</c:v>
                </c:pt>
                <c:pt idx="10">
                  <c:v>30</c:v>
                </c:pt>
                <c:pt idx="11">
                  <c:v>36</c:v>
                </c:pt>
                <c:pt idx="12">
                  <c:v>37</c:v>
                </c:pt>
                <c:pt idx="13">
                  <c:v>38</c:v>
                </c:pt>
                <c:pt idx="14">
                  <c:v>40</c:v>
                </c:pt>
                <c:pt idx="15">
                  <c:v>41</c:v>
                </c:pt>
                <c:pt idx="16">
                  <c:v>42</c:v>
                </c:pt>
                <c:pt idx="17">
                  <c:v>47</c:v>
                </c:pt>
                <c:pt idx="18">
                  <c:v>47</c:v>
                </c:pt>
                <c:pt idx="19">
                  <c:v>47</c:v>
                </c:pt>
                <c:pt idx="20">
                  <c:v>47</c:v>
                </c:pt>
                <c:pt idx="21">
                  <c:v>48</c:v>
                </c:pt>
                <c:pt idx="22">
                  <c:v>48</c:v>
                </c:pt>
                <c:pt idx="23">
                  <c:v>52</c:v>
                </c:pt>
                <c:pt idx="24">
                  <c:v>55</c:v>
                </c:pt>
                <c:pt idx="25">
                  <c:v>56</c:v>
                </c:pt>
                <c:pt idx="26">
                  <c:v>63</c:v>
                </c:pt>
                <c:pt idx="27">
                  <c:v>63</c:v>
                </c:pt>
                <c:pt idx="28">
                  <c:v>64</c:v>
                </c:pt>
                <c:pt idx="29">
                  <c:v>65</c:v>
                </c:pt>
                <c:pt idx="30">
                  <c:v>68</c:v>
                </c:pt>
                <c:pt idx="31">
                  <c:v>70</c:v>
                </c:pt>
                <c:pt idx="32">
                  <c:v>76</c:v>
                </c:pt>
                <c:pt idx="33">
                  <c:v>77</c:v>
                </c:pt>
                <c:pt idx="34">
                  <c:v>78</c:v>
                </c:pt>
              </c:numCache>
            </c:numRef>
          </c:val>
        </c:ser>
        <c:dLbls>
          <c:showVal val="1"/>
        </c:dLbls>
        <c:overlap val="-25"/>
        <c:axId val="110094592"/>
        <c:axId val="110190592"/>
      </c:barChart>
      <c:catAx>
        <c:axId val="110094592"/>
        <c:scaling>
          <c:orientation val="minMax"/>
        </c:scaling>
        <c:axPos val="l"/>
        <c:majorTickMark val="none"/>
        <c:tickLblPos val="nextTo"/>
        <c:crossAx val="110190592"/>
        <c:crosses val="autoZero"/>
        <c:auto val="1"/>
        <c:lblAlgn val="ctr"/>
        <c:lblOffset val="100"/>
      </c:catAx>
      <c:valAx>
        <c:axId val="110190592"/>
        <c:scaling>
          <c:orientation val="minMax"/>
        </c:scaling>
        <c:delete val="1"/>
        <c:axPos val="b"/>
        <c:numFmt formatCode="0" sourceLinked="1"/>
        <c:tickLblPos val="none"/>
        <c:crossAx val="110094592"/>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nl-NL"/>
  <c:style val="4"/>
  <c:chart>
    <c:title>
      <c:tx>
        <c:rich>
          <a:bodyPr/>
          <a:lstStyle/>
          <a:p>
            <a:pPr>
              <a:defRPr/>
            </a:pPr>
            <a:r>
              <a:rPr lang="nl-NL"/>
              <a:t>Welke typen digitale collecties komen het meeste voor bij de respondenten? (n=139)</a:t>
            </a:r>
            <a:endParaRPr lang="en-US"/>
          </a:p>
        </c:rich>
      </c:tx>
      <c:layout/>
    </c:title>
    <c:plotArea>
      <c:layout/>
      <c:barChart>
        <c:barDir val="bar"/>
        <c:grouping val="clustered"/>
        <c:ser>
          <c:idx val="0"/>
          <c:order val="0"/>
          <c:tx>
            <c:strRef>
              <c:f>Q15totaal!$E$5</c:f>
              <c:strCache>
                <c:ptCount val="1"/>
                <c:pt idx="0">
                  <c:v>% instellingen met digitale collectie</c:v>
                </c:pt>
              </c:strCache>
            </c:strRef>
          </c:tx>
          <c:cat>
            <c:strRef>
              <c:f>Q15totaal!$D$6:$D$50</c:f>
              <c:strCache>
                <c:ptCount val="45"/>
                <c:pt idx="0">
                  <c:v>Archeologische sites</c:v>
                </c:pt>
                <c:pt idx="1">
                  <c:v>Landschappen</c:v>
                </c:pt>
                <c:pt idx="2">
                  <c:v>Digitale audio boeken</c:v>
                </c:pt>
                <c:pt idx="3">
                  <c:v>Overig locatie-gebonden erfgoed</c:v>
                </c:pt>
                <c:pt idx="4">
                  <c:v>Games</c:v>
                </c:pt>
                <c:pt idx="5">
                  <c:v>Planten en dieren</c:v>
                </c:pt>
                <c:pt idx="6">
                  <c:v>Objecten van anorganisch materiaal</c:v>
                </c:pt>
                <c:pt idx="7">
                  <c:v>Monumenten en andere bouwwerken</c:v>
                </c:pt>
                <c:pt idx="8">
                  <c:v>Born-digital kunstwerken</c:v>
                </c:pt>
                <c:pt idx="9">
                  <c:v>Digitale 3D-ontwerpen/reconstructies</c:v>
                </c:pt>
                <c:pt idx="10">
                  <c:v>Wetenschappelijke tijdschriften</c:v>
                </c:pt>
                <c:pt idx="11">
                  <c:v>Bladmuziek</c:v>
                </c:pt>
                <c:pt idx="12">
                  <c:v>Overig time-based</c:v>
                </c:pt>
                <c:pt idx="13">
                  <c:v>Overige tijdschriften</c:v>
                </c:pt>
                <c:pt idx="14">
                  <c:v>Archaeologische gebruiksvoorwerpen</c:v>
                </c:pt>
                <c:pt idx="15">
                  <c:v>Middeleeuwse handschriften</c:v>
                </c:pt>
                <c:pt idx="16">
                  <c:v>Overige digitaal interactieve bronnen</c:v>
                </c:pt>
                <c:pt idx="17">
                  <c:v>E-books</c:v>
                </c:pt>
                <c:pt idx="18">
                  <c:v>Overige handschriften</c:v>
                </c:pt>
                <c:pt idx="19">
                  <c:v>Audio-opnamen: muziek</c:v>
                </c:pt>
                <c:pt idx="20">
                  <c:v>Software (incl. maakwerk)</c:v>
                </c:pt>
                <c:pt idx="21">
                  <c:v>Microforms en/of microfiches</c:v>
                </c:pt>
                <c:pt idx="22">
                  <c:v>Zeldzame (gedrukte) boeken</c:v>
                </c:pt>
                <c:pt idx="23">
                  <c:v>Overige gedrukte boeken</c:v>
                </c:pt>
                <c:pt idx="24">
                  <c:v>Munten en penningen</c:v>
                </c:pt>
                <c:pt idx="25">
                  <c:v>Overige 3-dimensionale door de mens gemaakte objecten</c:v>
                </c:pt>
                <c:pt idx="26">
                  <c:v>3-dimensionale kunstwerken</c:v>
                </c:pt>
                <c:pt idx="27">
                  <c:v>Digitale onderzoeksbestanden (incl. GIS)</c:v>
                </c:pt>
                <c:pt idx="28">
                  <c:v>Overige tekstuele materialen</c:v>
                </c:pt>
                <c:pt idx="29">
                  <c:v>Overige visuele (2D) objecten</c:v>
                </c:pt>
                <c:pt idx="30">
                  <c:v>Kranten</c:v>
                </c:pt>
                <c:pt idx="31">
                  <c:v>Overige gebruiksvoorwerpen</c:v>
                </c:pt>
                <c:pt idx="32">
                  <c:v>Audio-opnamen: spraak</c:v>
                </c:pt>
                <c:pt idx="33">
                  <c:v>Archieven: Overheidsdocumenten</c:v>
                </c:pt>
                <c:pt idx="34">
                  <c:v>Posters</c:v>
                </c:pt>
                <c:pt idx="35">
                  <c:v>(Onderdelen van) websites</c:v>
                </c:pt>
                <c:pt idx="36">
                  <c:v>Schilderijen</c:v>
                </c:pt>
                <c:pt idx="37">
                  <c:v>Kaarten en plattegronden</c:v>
                </c:pt>
                <c:pt idx="38">
                  <c:v>Archieven: Overige archivalia</c:v>
                </c:pt>
                <c:pt idx="39">
                  <c:v>Film</c:v>
                </c:pt>
                <c:pt idx="40">
                  <c:v>Video-opnamen</c:v>
                </c:pt>
                <c:pt idx="41">
                  <c:v>Databases (met erfgoedinformatie)</c:v>
                </c:pt>
                <c:pt idx="42">
                  <c:v>Graveerwerk / prenten</c:v>
                </c:pt>
                <c:pt idx="43">
                  <c:v>Tekeningen</c:v>
                </c:pt>
                <c:pt idx="44">
                  <c:v>Foto’s</c:v>
                </c:pt>
              </c:strCache>
            </c:strRef>
          </c:cat>
          <c:val>
            <c:numRef>
              <c:f>Q15totaal!$E$6:$E$50</c:f>
              <c:numCache>
                <c:formatCode>0</c:formatCode>
                <c:ptCount val="45"/>
                <c:pt idx="0">
                  <c:v>1</c:v>
                </c:pt>
                <c:pt idx="1">
                  <c:v>2</c:v>
                </c:pt>
                <c:pt idx="2">
                  <c:v>2</c:v>
                </c:pt>
                <c:pt idx="3">
                  <c:v>3</c:v>
                </c:pt>
                <c:pt idx="4">
                  <c:v>3</c:v>
                </c:pt>
                <c:pt idx="5">
                  <c:v>4</c:v>
                </c:pt>
                <c:pt idx="6">
                  <c:v>4</c:v>
                </c:pt>
                <c:pt idx="7">
                  <c:v>4</c:v>
                </c:pt>
                <c:pt idx="8">
                  <c:v>6</c:v>
                </c:pt>
                <c:pt idx="9">
                  <c:v>8</c:v>
                </c:pt>
                <c:pt idx="10">
                  <c:v>9</c:v>
                </c:pt>
                <c:pt idx="11">
                  <c:v>9</c:v>
                </c:pt>
                <c:pt idx="12">
                  <c:v>9</c:v>
                </c:pt>
                <c:pt idx="13">
                  <c:v>11</c:v>
                </c:pt>
                <c:pt idx="14">
                  <c:v>11</c:v>
                </c:pt>
                <c:pt idx="15">
                  <c:v>12</c:v>
                </c:pt>
                <c:pt idx="16">
                  <c:v>12</c:v>
                </c:pt>
                <c:pt idx="17">
                  <c:v>12</c:v>
                </c:pt>
                <c:pt idx="18">
                  <c:v>15</c:v>
                </c:pt>
                <c:pt idx="19">
                  <c:v>15</c:v>
                </c:pt>
                <c:pt idx="20">
                  <c:v>15</c:v>
                </c:pt>
                <c:pt idx="21">
                  <c:v>17</c:v>
                </c:pt>
                <c:pt idx="22">
                  <c:v>17</c:v>
                </c:pt>
                <c:pt idx="23">
                  <c:v>17</c:v>
                </c:pt>
                <c:pt idx="24">
                  <c:v>17</c:v>
                </c:pt>
                <c:pt idx="25">
                  <c:v>18</c:v>
                </c:pt>
                <c:pt idx="26">
                  <c:v>19</c:v>
                </c:pt>
                <c:pt idx="27">
                  <c:v>21</c:v>
                </c:pt>
                <c:pt idx="28">
                  <c:v>22</c:v>
                </c:pt>
                <c:pt idx="29">
                  <c:v>22</c:v>
                </c:pt>
                <c:pt idx="30">
                  <c:v>24</c:v>
                </c:pt>
                <c:pt idx="31">
                  <c:v>24</c:v>
                </c:pt>
                <c:pt idx="32">
                  <c:v>25</c:v>
                </c:pt>
                <c:pt idx="33">
                  <c:v>26</c:v>
                </c:pt>
                <c:pt idx="34">
                  <c:v>29</c:v>
                </c:pt>
                <c:pt idx="35">
                  <c:v>32</c:v>
                </c:pt>
                <c:pt idx="36">
                  <c:v>34</c:v>
                </c:pt>
                <c:pt idx="37">
                  <c:v>39</c:v>
                </c:pt>
                <c:pt idx="38">
                  <c:v>39</c:v>
                </c:pt>
                <c:pt idx="39">
                  <c:v>40</c:v>
                </c:pt>
                <c:pt idx="40">
                  <c:v>40</c:v>
                </c:pt>
                <c:pt idx="41">
                  <c:v>42</c:v>
                </c:pt>
                <c:pt idx="42">
                  <c:v>44</c:v>
                </c:pt>
                <c:pt idx="43">
                  <c:v>44</c:v>
                </c:pt>
                <c:pt idx="44">
                  <c:v>65</c:v>
                </c:pt>
              </c:numCache>
            </c:numRef>
          </c:val>
        </c:ser>
        <c:dLbls>
          <c:showVal val="1"/>
        </c:dLbls>
        <c:overlap val="-25"/>
        <c:axId val="110215936"/>
        <c:axId val="110217472"/>
      </c:barChart>
      <c:catAx>
        <c:axId val="110215936"/>
        <c:scaling>
          <c:orientation val="minMax"/>
        </c:scaling>
        <c:axPos val="l"/>
        <c:majorTickMark val="none"/>
        <c:tickLblPos val="nextTo"/>
        <c:crossAx val="110217472"/>
        <c:crosses val="autoZero"/>
        <c:auto val="1"/>
        <c:lblAlgn val="ctr"/>
        <c:lblOffset val="100"/>
      </c:catAx>
      <c:valAx>
        <c:axId val="110217472"/>
        <c:scaling>
          <c:orientation val="minMax"/>
        </c:scaling>
        <c:delete val="1"/>
        <c:axPos val="b"/>
        <c:numFmt formatCode="0" sourceLinked="1"/>
        <c:tickLblPos val="none"/>
        <c:crossAx val="110215936"/>
        <c:crosses val="autoZero"/>
        <c:crossBetween val="between"/>
      </c:valAx>
    </c:plotArea>
    <c:legend>
      <c:legendPos val="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a:t>Correlatie tussen aanwezigheid van fysieke</a:t>
            </a:r>
            <a:r>
              <a:rPr lang="en-US" baseline="0"/>
              <a:t> en digitale collecties</a:t>
            </a:r>
            <a:endParaRPr lang="en-US"/>
          </a:p>
        </c:rich>
      </c:tx>
    </c:title>
    <c:plotArea>
      <c:layout/>
      <c:barChart>
        <c:barDir val="bar"/>
        <c:grouping val="clustered"/>
        <c:ser>
          <c:idx val="0"/>
          <c:order val="0"/>
          <c:tx>
            <c:strRef>
              <c:f>Q15totaal!$H$5</c:f>
              <c:strCache>
                <c:ptCount val="1"/>
                <c:pt idx="0">
                  <c:v>Een lage waarde geeft aan dat van de instellingen die dit collectietype in fysieke vorm beheren, er maar weinig zijn die ze ook digitale vorm beheren</c:v>
                </c:pt>
              </c:strCache>
            </c:strRef>
          </c:tx>
          <c:cat>
            <c:strRef>
              <c:f>Q15totaal!$G$6:$G$40</c:f>
              <c:strCache>
                <c:ptCount val="35"/>
                <c:pt idx="0">
                  <c:v>Overige tijdschriften</c:v>
                </c:pt>
                <c:pt idx="1">
                  <c:v>Wetenschappelijke tijdschriften</c:v>
                </c:pt>
                <c:pt idx="2">
                  <c:v>Overige gedrukte boeken</c:v>
                </c:pt>
                <c:pt idx="3">
                  <c:v>Monumenten en andere bouwwerken</c:v>
                </c:pt>
                <c:pt idx="4">
                  <c:v>Overig locatie-gebonden erfgoed</c:v>
                </c:pt>
                <c:pt idx="5">
                  <c:v>Zeldzame (gedrukte) boeken</c:v>
                </c:pt>
                <c:pt idx="6">
                  <c:v>Overige handschriften</c:v>
                </c:pt>
                <c:pt idx="7">
                  <c:v>Archeologische sites</c:v>
                </c:pt>
                <c:pt idx="8">
                  <c:v>Bladmuziek</c:v>
                </c:pt>
                <c:pt idx="9">
                  <c:v>Overige 3-dimensionale door de mens gemaakte objecten</c:v>
                </c:pt>
                <c:pt idx="10">
                  <c:v>Landschappen</c:v>
                </c:pt>
                <c:pt idx="11">
                  <c:v>Objecten van anorganisch materiaal</c:v>
                </c:pt>
                <c:pt idx="12">
                  <c:v>Overige tekstuele materialen</c:v>
                </c:pt>
                <c:pt idx="13">
                  <c:v>Munten en penningen</c:v>
                </c:pt>
                <c:pt idx="14">
                  <c:v>Archaeologische gebruiksvoorwerpen</c:v>
                </c:pt>
                <c:pt idx="15">
                  <c:v>Planten en dieren</c:v>
                </c:pt>
                <c:pt idx="16">
                  <c:v>Microforms en/of microfiches</c:v>
                </c:pt>
                <c:pt idx="17">
                  <c:v>Overige gebruiksvoorwerpen</c:v>
                </c:pt>
                <c:pt idx="18">
                  <c:v>3-dimensionale kunstwerken</c:v>
                </c:pt>
                <c:pt idx="19">
                  <c:v>Middeleeuwse handschriften</c:v>
                </c:pt>
                <c:pt idx="20">
                  <c:v>Audio-opnamen: muziek</c:v>
                </c:pt>
                <c:pt idx="21">
                  <c:v>Kranten</c:v>
                </c:pt>
                <c:pt idx="22">
                  <c:v>Posters</c:v>
                </c:pt>
                <c:pt idx="23">
                  <c:v>Schilderijen</c:v>
                </c:pt>
                <c:pt idx="24">
                  <c:v>Overige visuele (2D) objecten</c:v>
                </c:pt>
                <c:pt idx="25">
                  <c:v>Tekeningen</c:v>
                </c:pt>
                <c:pt idx="26">
                  <c:v>Kaarten en plattegronden</c:v>
                </c:pt>
                <c:pt idx="27">
                  <c:v>Archieven: Overige archivalia</c:v>
                </c:pt>
                <c:pt idx="28">
                  <c:v>Graveerwerk / prenten</c:v>
                </c:pt>
                <c:pt idx="29">
                  <c:v>Overig time-based</c:v>
                </c:pt>
                <c:pt idx="30">
                  <c:v>Audio-opnamen: spraak</c:v>
                </c:pt>
                <c:pt idx="31">
                  <c:v>Archieven: Overheidsdocumenten</c:v>
                </c:pt>
                <c:pt idx="32">
                  <c:v>Foto’s</c:v>
                </c:pt>
                <c:pt idx="33">
                  <c:v>Film</c:v>
                </c:pt>
                <c:pt idx="34">
                  <c:v>Video-opnamen</c:v>
                </c:pt>
              </c:strCache>
            </c:strRef>
          </c:cat>
          <c:val>
            <c:numRef>
              <c:f>Q15totaal!$H$6:$H$40</c:f>
              <c:numCache>
                <c:formatCode>0.00</c:formatCode>
                <c:ptCount val="35"/>
                <c:pt idx="0">
                  <c:v>0.17460317460317459</c:v>
                </c:pt>
                <c:pt idx="1">
                  <c:v>0.1875</c:v>
                </c:pt>
                <c:pt idx="2">
                  <c:v>0.22077922077922077</c:v>
                </c:pt>
                <c:pt idx="3">
                  <c:v>0.22222222222222221</c:v>
                </c:pt>
                <c:pt idx="4">
                  <c:v>0.25</c:v>
                </c:pt>
                <c:pt idx="5">
                  <c:v>0.25</c:v>
                </c:pt>
                <c:pt idx="6">
                  <c:v>0.31914893617021278</c:v>
                </c:pt>
                <c:pt idx="7">
                  <c:v>0.33333333333333331</c:v>
                </c:pt>
                <c:pt idx="8">
                  <c:v>0.375</c:v>
                </c:pt>
                <c:pt idx="9">
                  <c:v>0.38297872340425532</c:v>
                </c:pt>
                <c:pt idx="10">
                  <c:v>0.4</c:v>
                </c:pt>
                <c:pt idx="11">
                  <c:v>0.4</c:v>
                </c:pt>
                <c:pt idx="12">
                  <c:v>0.4</c:v>
                </c:pt>
                <c:pt idx="13">
                  <c:v>0.40476190476190477</c:v>
                </c:pt>
                <c:pt idx="14">
                  <c:v>0.40740740740740738</c:v>
                </c:pt>
                <c:pt idx="15">
                  <c:v>0.44444444444444442</c:v>
                </c:pt>
                <c:pt idx="16">
                  <c:v>0.45945945945945948</c:v>
                </c:pt>
                <c:pt idx="17">
                  <c:v>0.46153846153846156</c:v>
                </c:pt>
                <c:pt idx="18">
                  <c:v>0.46341463414634149</c:v>
                </c:pt>
                <c:pt idx="19">
                  <c:v>0.5</c:v>
                </c:pt>
                <c:pt idx="20">
                  <c:v>0.5</c:v>
                </c:pt>
                <c:pt idx="21">
                  <c:v>0.5</c:v>
                </c:pt>
                <c:pt idx="22">
                  <c:v>0.5178571428571429</c:v>
                </c:pt>
                <c:pt idx="23">
                  <c:v>0.53125</c:v>
                </c:pt>
                <c:pt idx="24">
                  <c:v>0.55000000000000004</c:v>
                </c:pt>
                <c:pt idx="25">
                  <c:v>0.57894736842105265</c:v>
                </c:pt>
                <c:pt idx="26">
                  <c:v>0.6</c:v>
                </c:pt>
                <c:pt idx="27">
                  <c:v>0.61904761904761907</c:v>
                </c:pt>
                <c:pt idx="28">
                  <c:v>0.62857142857142856</c:v>
                </c:pt>
                <c:pt idx="29">
                  <c:v>0.6428571428571429</c:v>
                </c:pt>
                <c:pt idx="30">
                  <c:v>0.65789473684210531</c:v>
                </c:pt>
                <c:pt idx="31">
                  <c:v>0.72222222222222221</c:v>
                </c:pt>
                <c:pt idx="32">
                  <c:v>0.83333333333333337</c:v>
                </c:pt>
                <c:pt idx="33">
                  <c:v>0.85106382978723405</c:v>
                </c:pt>
                <c:pt idx="34">
                  <c:v>0.85106382978723405</c:v>
                </c:pt>
              </c:numCache>
            </c:numRef>
          </c:val>
        </c:ser>
        <c:dLbls>
          <c:showVal val="1"/>
        </c:dLbls>
        <c:overlap val="-25"/>
        <c:axId val="110115072"/>
        <c:axId val="110133248"/>
      </c:barChart>
      <c:catAx>
        <c:axId val="110115072"/>
        <c:scaling>
          <c:orientation val="minMax"/>
        </c:scaling>
        <c:axPos val="l"/>
        <c:majorTickMark val="none"/>
        <c:tickLblPos val="nextTo"/>
        <c:crossAx val="110133248"/>
        <c:crosses val="autoZero"/>
        <c:auto val="1"/>
        <c:lblAlgn val="ctr"/>
        <c:lblOffset val="100"/>
      </c:catAx>
      <c:valAx>
        <c:axId val="110133248"/>
        <c:scaling>
          <c:orientation val="minMax"/>
        </c:scaling>
        <c:delete val="1"/>
        <c:axPos val="b"/>
        <c:numFmt formatCode="0.00" sourceLinked="1"/>
        <c:tickLblPos val="none"/>
        <c:crossAx val="110115072"/>
        <c:crosses val="autoZero"/>
        <c:crossBetween val="between"/>
      </c:valAx>
    </c:plotArea>
    <c:legend>
      <c:legendPos val="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Schatting % collectie </a:t>
            </a:r>
          </a:p>
          <a:p>
            <a:pPr>
              <a:defRPr/>
            </a:pPr>
            <a:r>
              <a:rPr lang="nl-NL"/>
              <a:t>geregistreerd in database </a:t>
            </a:r>
          </a:p>
          <a:p>
            <a:pPr>
              <a:defRPr/>
            </a:pPr>
            <a:r>
              <a:rPr lang="nl-NL"/>
              <a:t>(n = 130)</a:t>
            </a:r>
          </a:p>
        </c:rich>
      </c:tx>
      <c:layout/>
    </c:title>
    <c:plotArea>
      <c:layout/>
      <c:barChart>
        <c:barDir val="col"/>
        <c:grouping val="clustered"/>
        <c:ser>
          <c:idx val="0"/>
          <c:order val="0"/>
          <c:dPt>
            <c:idx val="4"/>
            <c:spPr>
              <a:solidFill>
                <a:srgbClr val="C00000"/>
              </a:solidFill>
            </c:spPr>
          </c:dPt>
          <c:cat>
            <c:strRef>
              <c:f>'Q16'!$D$5:$D$9</c:f>
              <c:strCache>
                <c:ptCount val="5"/>
                <c:pt idx="0">
                  <c:v>Archieven (n=34)</c:v>
                </c:pt>
                <c:pt idx="1">
                  <c:v>Bibliotheken (n=8)</c:v>
                </c:pt>
                <c:pt idx="2">
                  <c:v>Musea (n=83)</c:v>
                </c:pt>
                <c:pt idx="3">
                  <c:v>Overig (n=5)</c:v>
                </c:pt>
                <c:pt idx="4">
                  <c:v>Totaal (n=130)</c:v>
                </c:pt>
              </c:strCache>
            </c:strRef>
          </c:cat>
          <c:val>
            <c:numRef>
              <c:f>'Q16'!$E$5:$E$9</c:f>
              <c:numCache>
                <c:formatCode>General</c:formatCode>
                <c:ptCount val="5"/>
                <c:pt idx="0">
                  <c:v>70</c:v>
                </c:pt>
                <c:pt idx="1">
                  <c:v>76</c:v>
                </c:pt>
                <c:pt idx="2">
                  <c:v>77</c:v>
                </c:pt>
                <c:pt idx="3">
                  <c:v>88</c:v>
                </c:pt>
                <c:pt idx="4">
                  <c:v>75</c:v>
                </c:pt>
              </c:numCache>
            </c:numRef>
          </c:val>
        </c:ser>
        <c:dLbls>
          <c:showVal val="1"/>
        </c:dLbls>
        <c:overlap val="-25"/>
        <c:axId val="110306048"/>
        <c:axId val="110307584"/>
      </c:barChart>
      <c:catAx>
        <c:axId val="110306048"/>
        <c:scaling>
          <c:orientation val="minMax"/>
        </c:scaling>
        <c:axPos val="b"/>
        <c:majorTickMark val="none"/>
        <c:tickLblPos val="nextTo"/>
        <c:crossAx val="110307584"/>
        <c:crosses val="autoZero"/>
        <c:auto val="1"/>
        <c:lblAlgn val="ctr"/>
        <c:lblOffset val="100"/>
      </c:catAx>
      <c:valAx>
        <c:axId val="110307584"/>
        <c:scaling>
          <c:orientation val="minMax"/>
        </c:scaling>
        <c:delete val="1"/>
        <c:axPos val="l"/>
        <c:numFmt formatCode="General" sourceLinked="1"/>
        <c:tickLblPos val="none"/>
        <c:crossAx val="110306048"/>
        <c:crosses val="autoZero"/>
        <c:crossBetween val="between"/>
      </c:valAx>
    </c:plotArea>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Schatting %</a:t>
            </a:r>
            <a:r>
              <a:rPr lang="nl-NL" baseline="0"/>
              <a:t> collectie gedigitaliseerd (n=129)</a:t>
            </a:r>
            <a:endParaRPr lang="nl-NL"/>
          </a:p>
        </c:rich>
      </c:tx>
      <c:layout/>
    </c:title>
    <c:plotArea>
      <c:layout/>
      <c:barChart>
        <c:barDir val="col"/>
        <c:grouping val="clustered"/>
        <c:ser>
          <c:idx val="0"/>
          <c:order val="0"/>
          <c:dPt>
            <c:idx val="4"/>
            <c:spPr>
              <a:solidFill>
                <a:srgbClr val="C00000"/>
              </a:solidFill>
            </c:spPr>
          </c:dPt>
          <c:dPt>
            <c:idx val="5"/>
            <c:spPr>
              <a:solidFill>
                <a:srgbClr val="C00000"/>
              </a:solidFill>
            </c:spPr>
          </c:dPt>
          <c:cat>
            <c:strRef>
              <c:f>'Q17'!$D$5:$D$10</c:f>
              <c:strCache>
                <c:ptCount val="6"/>
                <c:pt idx="0">
                  <c:v>Archieven (n=34)</c:v>
                </c:pt>
                <c:pt idx="1">
                  <c:v>Bibliotheken (n=8)</c:v>
                </c:pt>
                <c:pt idx="2">
                  <c:v>Musea (n=82)</c:v>
                </c:pt>
                <c:pt idx="3">
                  <c:v>Overig (n=5)</c:v>
                </c:pt>
                <c:pt idx="4">
                  <c:v>Totaal (n=129)</c:v>
                </c:pt>
                <c:pt idx="5">
                  <c:v>Mediaan (n=129)</c:v>
                </c:pt>
              </c:strCache>
            </c:strRef>
          </c:cat>
          <c:val>
            <c:numRef>
              <c:f>'Q17'!$E$5:$E$10</c:f>
              <c:numCache>
                <c:formatCode>General</c:formatCode>
                <c:ptCount val="6"/>
                <c:pt idx="0">
                  <c:v>8</c:v>
                </c:pt>
                <c:pt idx="1">
                  <c:v>18</c:v>
                </c:pt>
                <c:pt idx="2">
                  <c:v>36</c:v>
                </c:pt>
                <c:pt idx="3">
                  <c:v>45</c:v>
                </c:pt>
                <c:pt idx="4">
                  <c:v>28</c:v>
                </c:pt>
                <c:pt idx="5">
                  <c:v>10</c:v>
                </c:pt>
              </c:numCache>
            </c:numRef>
          </c:val>
        </c:ser>
        <c:dLbls>
          <c:showVal val="1"/>
        </c:dLbls>
        <c:overlap val="-25"/>
        <c:axId val="110357504"/>
        <c:axId val="110400256"/>
      </c:barChart>
      <c:catAx>
        <c:axId val="110357504"/>
        <c:scaling>
          <c:orientation val="minMax"/>
        </c:scaling>
        <c:axPos val="b"/>
        <c:majorTickMark val="none"/>
        <c:tickLblPos val="nextTo"/>
        <c:crossAx val="110400256"/>
        <c:crosses val="autoZero"/>
        <c:auto val="1"/>
        <c:lblAlgn val="ctr"/>
        <c:lblOffset val="100"/>
      </c:catAx>
      <c:valAx>
        <c:axId val="110400256"/>
        <c:scaling>
          <c:orientation val="minMax"/>
        </c:scaling>
        <c:delete val="1"/>
        <c:axPos val="l"/>
        <c:numFmt formatCode="General" sourceLinked="1"/>
        <c:tickLblPos val="none"/>
        <c:crossAx val="110357504"/>
        <c:crosses val="autoZero"/>
        <c:crossBetween val="between"/>
      </c:valAx>
    </c:plotArea>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Digitaliseringgraad van erfgoedcollecties</a:t>
            </a:r>
          </a:p>
        </c:rich>
      </c:tx>
      <c:layout/>
    </c:title>
    <c:plotArea>
      <c:layout/>
      <c:pieChart>
        <c:varyColors val="1"/>
        <c:ser>
          <c:idx val="0"/>
          <c:order val="0"/>
          <c:dLbls>
            <c:showPercent val="1"/>
            <c:showLeaderLines val="1"/>
          </c:dLbls>
          <c:cat>
            <c:strRef>
              <c:f>'Q17'!$D$25:$D$31</c:f>
              <c:strCache>
                <c:ptCount val="7"/>
                <c:pt idx="0">
                  <c:v>0% gedigitaliseerd</c:v>
                </c:pt>
                <c:pt idx="1">
                  <c:v>1-5% gedigitaliseerd</c:v>
                </c:pt>
                <c:pt idx="2">
                  <c:v>6-25% gedigitaliseerd</c:v>
                </c:pt>
                <c:pt idx="3">
                  <c:v>26-50% gedigitaliseerd</c:v>
                </c:pt>
                <c:pt idx="4">
                  <c:v>51-75% gedigitaliseerd</c:v>
                </c:pt>
                <c:pt idx="5">
                  <c:v>76-99% gedigitaliseerd</c:v>
                </c:pt>
                <c:pt idx="6">
                  <c:v> 100% gedigitaliseerd</c:v>
                </c:pt>
              </c:strCache>
            </c:strRef>
          </c:cat>
          <c:val>
            <c:numRef>
              <c:f>'Q17'!$E$25:$E$31</c:f>
              <c:numCache>
                <c:formatCode>0%</c:formatCode>
                <c:ptCount val="7"/>
                <c:pt idx="0">
                  <c:v>7.0000000000000007E-2</c:v>
                </c:pt>
                <c:pt idx="1">
                  <c:v>0.3</c:v>
                </c:pt>
                <c:pt idx="2">
                  <c:v>0.23</c:v>
                </c:pt>
                <c:pt idx="3">
                  <c:v>0.18</c:v>
                </c:pt>
                <c:pt idx="4">
                  <c:v>0.12</c:v>
                </c:pt>
                <c:pt idx="5">
                  <c:v>0.1</c:v>
                </c:pt>
                <c:pt idx="6">
                  <c:v>0</c:v>
                </c:pt>
              </c:numCache>
            </c:numRef>
          </c:val>
        </c:ser>
        <c:dLbls>
          <c:showPercent val="1"/>
        </c:dLbls>
        <c:firstSliceAng val="0"/>
      </c:pieChart>
    </c:plotArea>
    <c:legend>
      <c:legendPos val="t"/>
      <c:layout/>
    </c:legend>
    <c:plotVisOnly val="1"/>
    <c:dispBlanksAs val="zero"/>
  </c:chart>
  <c:printSettings>
    <c:headerFooter/>
    <c:pageMargins b="0.75000000000000111" l="0.70000000000000062" r="0.70000000000000062" t="0.750000000000001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Gemiddelde % collectie</a:t>
            </a:r>
            <a:r>
              <a:rPr lang="nl-NL" baseline="0"/>
              <a:t> dat nog gedigitaliseerd moet worden </a:t>
            </a:r>
          </a:p>
          <a:p>
            <a:pPr>
              <a:defRPr/>
            </a:pPr>
            <a:r>
              <a:rPr lang="nl-NL" baseline="0"/>
              <a:t>(n=129)</a:t>
            </a:r>
            <a:endParaRPr lang="nl-NL"/>
          </a:p>
        </c:rich>
      </c:tx>
      <c:layout/>
    </c:title>
    <c:plotArea>
      <c:layout/>
      <c:barChart>
        <c:barDir val="col"/>
        <c:grouping val="clustered"/>
        <c:ser>
          <c:idx val="0"/>
          <c:order val="0"/>
          <c:dPt>
            <c:idx val="4"/>
            <c:spPr>
              <a:solidFill>
                <a:srgbClr val="C00000"/>
              </a:solidFill>
            </c:spPr>
          </c:dPt>
          <c:cat>
            <c:strRef>
              <c:f>'Q18'!$E$5:$E$9</c:f>
              <c:strCache>
                <c:ptCount val="5"/>
                <c:pt idx="0">
                  <c:v>Archieven (n=34)</c:v>
                </c:pt>
                <c:pt idx="1">
                  <c:v>Bibliotheken (n=8)</c:v>
                </c:pt>
                <c:pt idx="2">
                  <c:v>Musea (n=82)</c:v>
                </c:pt>
                <c:pt idx="3">
                  <c:v>Overig (n=5)</c:v>
                </c:pt>
                <c:pt idx="4">
                  <c:v>Totaal (n=129)</c:v>
                </c:pt>
              </c:strCache>
            </c:strRef>
          </c:cat>
          <c:val>
            <c:numRef>
              <c:f>'Q18'!$F$5:$F$9</c:f>
              <c:numCache>
                <c:formatCode>General</c:formatCode>
                <c:ptCount val="5"/>
                <c:pt idx="0">
                  <c:v>36</c:v>
                </c:pt>
                <c:pt idx="1">
                  <c:v>42</c:v>
                </c:pt>
                <c:pt idx="2">
                  <c:v>44</c:v>
                </c:pt>
                <c:pt idx="3">
                  <c:v>44</c:v>
                </c:pt>
                <c:pt idx="4">
                  <c:v>42</c:v>
                </c:pt>
              </c:numCache>
            </c:numRef>
          </c:val>
        </c:ser>
        <c:dLbls>
          <c:showVal val="1"/>
        </c:dLbls>
        <c:overlap val="-25"/>
        <c:axId val="110443904"/>
        <c:axId val="110474368"/>
      </c:barChart>
      <c:catAx>
        <c:axId val="110443904"/>
        <c:scaling>
          <c:orientation val="minMax"/>
        </c:scaling>
        <c:axPos val="b"/>
        <c:majorTickMark val="none"/>
        <c:tickLblPos val="nextTo"/>
        <c:crossAx val="110474368"/>
        <c:crosses val="autoZero"/>
        <c:auto val="1"/>
        <c:lblAlgn val="ctr"/>
        <c:lblOffset val="100"/>
      </c:catAx>
      <c:valAx>
        <c:axId val="110474368"/>
        <c:scaling>
          <c:orientation val="minMax"/>
        </c:scaling>
        <c:delete val="1"/>
        <c:axPos val="l"/>
        <c:numFmt formatCode="General" sourceLinked="1"/>
        <c:tickLblPos val="none"/>
        <c:crossAx val="110443904"/>
        <c:crosses val="autoZero"/>
        <c:crossBetween val="between"/>
      </c:valAx>
    </c:plotArea>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Stand van digitalisering</a:t>
            </a:r>
            <a:r>
              <a:rPr lang="nl-NL" baseline="0"/>
              <a:t> van erfgoed (n=129)</a:t>
            </a:r>
            <a:endParaRPr lang="nl-NL"/>
          </a:p>
        </c:rich>
      </c:tx>
    </c:title>
    <c:plotArea>
      <c:layout/>
      <c:barChart>
        <c:barDir val="bar"/>
        <c:grouping val="percentStacked"/>
        <c:ser>
          <c:idx val="0"/>
          <c:order val="0"/>
          <c:tx>
            <c:strRef>
              <c:f>'Q18'!$F$23</c:f>
              <c:strCache>
                <c:ptCount val="1"/>
                <c:pt idx="0">
                  <c:v>Gedigitaliseerd</c:v>
                </c:pt>
              </c:strCache>
            </c:strRef>
          </c:tx>
          <c:cat>
            <c:strRef>
              <c:f>'Q18'!$E$24:$E$28</c:f>
              <c:strCache>
                <c:ptCount val="5"/>
                <c:pt idx="0">
                  <c:v>Totaal (n=129)</c:v>
                </c:pt>
                <c:pt idx="1">
                  <c:v>Overig (n=5)</c:v>
                </c:pt>
                <c:pt idx="2">
                  <c:v>Musea (n=82)</c:v>
                </c:pt>
                <c:pt idx="3">
                  <c:v>Bibliotheken (n=8)</c:v>
                </c:pt>
                <c:pt idx="4">
                  <c:v>Archieven (n=34)</c:v>
                </c:pt>
              </c:strCache>
            </c:strRef>
          </c:cat>
          <c:val>
            <c:numRef>
              <c:f>'Q18'!$F$24:$F$28</c:f>
              <c:numCache>
                <c:formatCode>General</c:formatCode>
                <c:ptCount val="5"/>
                <c:pt idx="0">
                  <c:v>28</c:v>
                </c:pt>
                <c:pt idx="1">
                  <c:v>45</c:v>
                </c:pt>
                <c:pt idx="2">
                  <c:v>36</c:v>
                </c:pt>
                <c:pt idx="3">
                  <c:v>18</c:v>
                </c:pt>
                <c:pt idx="4">
                  <c:v>8</c:v>
                </c:pt>
              </c:numCache>
            </c:numRef>
          </c:val>
        </c:ser>
        <c:ser>
          <c:idx val="1"/>
          <c:order val="1"/>
          <c:tx>
            <c:strRef>
              <c:f>'Q18'!$G$23</c:f>
              <c:strCache>
                <c:ptCount val="1"/>
                <c:pt idx="0">
                  <c:v>Nog te digitaliseren</c:v>
                </c:pt>
              </c:strCache>
            </c:strRef>
          </c:tx>
          <c:cat>
            <c:strRef>
              <c:f>'Q18'!$E$24:$E$28</c:f>
              <c:strCache>
                <c:ptCount val="5"/>
                <c:pt idx="0">
                  <c:v>Totaal (n=129)</c:v>
                </c:pt>
                <c:pt idx="1">
                  <c:v>Overig (n=5)</c:v>
                </c:pt>
                <c:pt idx="2">
                  <c:v>Musea (n=82)</c:v>
                </c:pt>
                <c:pt idx="3">
                  <c:v>Bibliotheken (n=8)</c:v>
                </c:pt>
                <c:pt idx="4">
                  <c:v>Archieven (n=34)</c:v>
                </c:pt>
              </c:strCache>
            </c:strRef>
          </c:cat>
          <c:val>
            <c:numRef>
              <c:f>'Q18'!$G$24:$G$28</c:f>
              <c:numCache>
                <c:formatCode>General</c:formatCode>
                <c:ptCount val="5"/>
                <c:pt idx="0">
                  <c:v>42</c:v>
                </c:pt>
                <c:pt idx="1">
                  <c:v>44</c:v>
                </c:pt>
                <c:pt idx="2">
                  <c:v>44</c:v>
                </c:pt>
                <c:pt idx="3">
                  <c:v>42</c:v>
                </c:pt>
                <c:pt idx="4">
                  <c:v>36</c:v>
                </c:pt>
              </c:numCache>
            </c:numRef>
          </c:val>
        </c:ser>
        <c:ser>
          <c:idx val="2"/>
          <c:order val="2"/>
          <c:tx>
            <c:strRef>
              <c:f>'Q18'!$H$23</c:f>
              <c:strCache>
                <c:ptCount val="1"/>
                <c:pt idx="0">
                  <c:v>Niet nodig te digitaliseren</c:v>
                </c:pt>
              </c:strCache>
            </c:strRef>
          </c:tx>
          <c:cat>
            <c:strRef>
              <c:f>'Q18'!$E$24:$E$28</c:f>
              <c:strCache>
                <c:ptCount val="5"/>
                <c:pt idx="0">
                  <c:v>Totaal (n=129)</c:v>
                </c:pt>
                <c:pt idx="1">
                  <c:v>Overig (n=5)</c:v>
                </c:pt>
                <c:pt idx="2">
                  <c:v>Musea (n=82)</c:v>
                </c:pt>
                <c:pt idx="3">
                  <c:v>Bibliotheken (n=8)</c:v>
                </c:pt>
                <c:pt idx="4">
                  <c:v>Archieven (n=34)</c:v>
                </c:pt>
              </c:strCache>
            </c:strRef>
          </c:cat>
          <c:val>
            <c:numRef>
              <c:f>'Q18'!$H$24:$H$28</c:f>
              <c:numCache>
                <c:formatCode>General</c:formatCode>
                <c:ptCount val="5"/>
                <c:pt idx="0">
                  <c:v>30</c:v>
                </c:pt>
                <c:pt idx="1">
                  <c:v>11</c:v>
                </c:pt>
                <c:pt idx="2">
                  <c:v>20</c:v>
                </c:pt>
                <c:pt idx="3">
                  <c:v>40</c:v>
                </c:pt>
                <c:pt idx="4">
                  <c:v>56</c:v>
                </c:pt>
              </c:numCache>
            </c:numRef>
          </c:val>
        </c:ser>
        <c:dLbls>
          <c:showVal val="1"/>
        </c:dLbls>
        <c:gapWidth val="95"/>
        <c:overlap val="100"/>
        <c:axId val="110496768"/>
        <c:axId val="110519040"/>
      </c:barChart>
      <c:catAx>
        <c:axId val="110496768"/>
        <c:scaling>
          <c:orientation val="minMax"/>
        </c:scaling>
        <c:axPos val="l"/>
        <c:majorTickMark val="none"/>
        <c:tickLblPos val="nextTo"/>
        <c:crossAx val="110519040"/>
        <c:crosses val="autoZero"/>
        <c:auto val="1"/>
        <c:lblAlgn val="ctr"/>
        <c:lblOffset val="100"/>
      </c:catAx>
      <c:valAx>
        <c:axId val="110519040"/>
        <c:scaling>
          <c:orientation val="minMax"/>
        </c:scaling>
        <c:delete val="1"/>
        <c:axPos val="b"/>
        <c:numFmt formatCode="0%" sourceLinked="1"/>
        <c:tickLblPos val="none"/>
        <c:crossAx val="110496768"/>
        <c:crosses val="autoZero"/>
        <c:crossBetween val="between"/>
      </c:valAx>
    </c:plotArea>
    <c:legend>
      <c:legendPos val="t"/>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baseline="0"/>
              <a:t>Jaarbudget van respondenten </a:t>
            </a:r>
          </a:p>
          <a:p>
            <a:pPr>
              <a:defRPr/>
            </a:pPr>
            <a:r>
              <a:rPr lang="en-US" baseline="0"/>
              <a:t>(n = 143)</a:t>
            </a:r>
            <a:endParaRPr lang="en-US"/>
          </a:p>
        </c:rich>
      </c:tx>
      <c:layout/>
    </c:title>
    <c:plotArea>
      <c:layout/>
      <c:pieChart>
        <c:varyColors val="1"/>
        <c:ser>
          <c:idx val="0"/>
          <c:order val="0"/>
          <c:tx>
            <c:strRef>
              <c:f>'Q9'!$G$3</c:f>
              <c:strCache>
                <c:ptCount val="1"/>
                <c:pt idx="0">
                  <c:v>Aantal</c:v>
                </c:pt>
              </c:strCache>
            </c:strRef>
          </c:tx>
          <c:dLbls>
            <c:txPr>
              <a:bodyPr/>
              <a:lstStyle/>
              <a:p>
                <a:pPr>
                  <a:defRPr sz="1200"/>
                </a:pPr>
                <a:endParaRPr lang="nl-NL"/>
              </a:p>
            </c:txPr>
            <c:showPercent val="1"/>
            <c:showLeaderLines val="1"/>
          </c:dLbls>
          <c:cat>
            <c:strRef>
              <c:f>'Q9'!$F$4:$F$10</c:f>
              <c:strCache>
                <c:ptCount val="7"/>
                <c:pt idx="0">
                  <c:v>&lt; 10,000 €</c:v>
                </c:pt>
                <c:pt idx="1">
                  <c:v>10,000-50,000 €</c:v>
                </c:pt>
                <c:pt idx="2">
                  <c:v>50,000-100,000 €</c:v>
                </c:pt>
                <c:pt idx="3">
                  <c:v>100,000-500,000 €</c:v>
                </c:pt>
                <c:pt idx="4">
                  <c:v>500,000-1M €</c:v>
                </c:pt>
                <c:pt idx="5">
                  <c:v>1 - 10M €</c:v>
                </c:pt>
                <c:pt idx="6">
                  <c:v>&gt; 10M €</c:v>
                </c:pt>
              </c:strCache>
            </c:strRef>
          </c:cat>
          <c:val>
            <c:numRef>
              <c:f>'Q9'!$G$4:$G$10</c:f>
              <c:numCache>
                <c:formatCode>General</c:formatCode>
                <c:ptCount val="7"/>
                <c:pt idx="0">
                  <c:v>9</c:v>
                </c:pt>
                <c:pt idx="1">
                  <c:v>14</c:v>
                </c:pt>
                <c:pt idx="2">
                  <c:v>8</c:v>
                </c:pt>
                <c:pt idx="3">
                  <c:v>45</c:v>
                </c:pt>
                <c:pt idx="4">
                  <c:v>11</c:v>
                </c:pt>
                <c:pt idx="5">
                  <c:v>48</c:v>
                </c:pt>
                <c:pt idx="6">
                  <c:v>8</c:v>
                </c:pt>
              </c:numCache>
            </c:numRef>
          </c:val>
        </c:ser>
        <c:dLbls>
          <c:showPercent val="1"/>
        </c:dLbls>
        <c:firstSliceAng val="0"/>
      </c:pieChart>
    </c:plotArea>
    <c:legend>
      <c:legendPos val="r"/>
      <c:layout/>
    </c:legend>
    <c:plotVisOnly val="1"/>
    <c:dispBlanksAs val="zero"/>
  </c:chart>
  <c:printSettings>
    <c:headerFooter/>
    <c:pageMargins b="0.75000000000000244" l="0.70000000000000062" r="0.70000000000000062" t="0.750000000000002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Voortgang digitalisering</a:t>
            </a:r>
            <a:r>
              <a:rPr lang="nl-NL" baseline="0"/>
              <a:t> van tekstuele bronnen (n=20)</a:t>
            </a:r>
            <a:endParaRPr lang="nl-NL"/>
          </a:p>
        </c:rich>
      </c:tx>
      <c:layout/>
    </c:title>
    <c:plotArea>
      <c:layout/>
      <c:barChart>
        <c:barDir val="bar"/>
        <c:grouping val="percentStacked"/>
        <c:ser>
          <c:idx val="0"/>
          <c:order val="0"/>
          <c:tx>
            <c:strRef>
              <c:f>Q18A!$A$48</c:f>
              <c:strCache>
                <c:ptCount val="1"/>
                <c:pt idx="0">
                  <c:v>Geschat % van de analoge collectie dat digitaal gereproduceerd is </c:v>
                </c:pt>
              </c:strCache>
            </c:strRef>
          </c:tx>
          <c:cat>
            <c:strRef>
              <c:f>Q18A!$B$47:$K$47</c:f>
              <c:strCache>
                <c:ptCount val="10"/>
                <c:pt idx="0">
                  <c:v>Totaal</c:v>
                </c:pt>
                <c:pt idx="1">
                  <c:v>Wetensch. tijdschriften</c:v>
                </c:pt>
                <c:pt idx="2">
                  <c:v>Overige handschriften</c:v>
                </c:pt>
                <c:pt idx="3">
                  <c:v>Microforms en microfilms</c:v>
                </c:pt>
                <c:pt idx="4">
                  <c:v>Middeleeuwse handschriften</c:v>
                </c:pt>
                <c:pt idx="5">
                  <c:v>Overige tijdschriften</c:v>
                </c:pt>
                <c:pt idx="6">
                  <c:v>Zeldzame (gedrukte) boeken</c:v>
                </c:pt>
                <c:pt idx="7">
                  <c:v>Overige (gedrukte) boeken </c:v>
                </c:pt>
                <c:pt idx="8">
                  <c:v>Overige tekstuele materialen</c:v>
                </c:pt>
                <c:pt idx="9">
                  <c:v>Kranten</c:v>
                </c:pt>
              </c:strCache>
            </c:strRef>
          </c:cat>
          <c:val>
            <c:numRef>
              <c:f>Q18A!$B$48:$K$48</c:f>
              <c:numCache>
                <c:formatCode>0</c:formatCode>
                <c:ptCount val="10"/>
                <c:pt idx="0">
                  <c:v>13.99185999185999</c:v>
                </c:pt>
                <c:pt idx="1">
                  <c:v>0.83333333333333337</c:v>
                </c:pt>
                <c:pt idx="2">
                  <c:v>2.8333333333333335</c:v>
                </c:pt>
                <c:pt idx="3">
                  <c:v>3.3333333333333335</c:v>
                </c:pt>
                <c:pt idx="4">
                  <c:v>10.333333333333334</c:v>
                </c:pt>
                <c:pt idx="5">
                  <c:v>16.5</c:v>
                </c:pt>
                <c:pt idx="6">
                  <c:v>18.307692307692307</c:v>
                </c:pt>
                <c:pt idx="7">
                  <c:v>18</c:v>
                </c:pt>
                <c:pt idx="8">
                  <c:v>25.5</c:v>
                </c:pt>
                <c:pt idx="9">
                  <c:v>30.285714285714285</c:v>
                </c:pt>
              </c:numCache>
            </c:numRef>
          </c:val>
        </c:ser>
        <c:ser>
          <c:idx val="1"/>
          <c:order val="1"/>
          <c:tx>
            <c:strRef>
              <c:f>Q18A!$A$49</c:f>
              <c:strCache>
                <c:ptCount val="1"/>
                <c:pt idx="0">
                  <c:v>Geschat % van de gehele collectie dat nog gedigitaliseerd moet worden</c:v>
                </c:pt>
              </c:strCache>
            </c:strRef>
          </c:tx>
          <c:cat>
            <c:strRef>
              <c:f>Q18A!$B$47:$K$47</c:f>
              <c:strCache>
                <c:ptCount val="10"/>
                <c:pt idx="0">
                  <c:v>Totaal</c:v>
                </c:pt>
                <c:pt idx="1">
                  <c:v>Wetensch. tijdschriften</c:v>
                </c:pt>
                <c:pt idx="2">
                  <c:v>Overige handschriften</c:v>
                </c:pt>
                <c:pt idx="3">
                  <c:v>Microforms en microfilms</c:v>
                </c:pt>
                <c:pt idx="4">
                  <c:v>Middeleeuwse handschriften</c:v>
                </c:pt>
                <c:pt idx="5">
                  <c:v>Overige tijdschriften</c:v>
                </c:pt>
                <c:pt idx="6">
                  <c:v>Zeldzame (gedrukte) boeken</c:v>
                </c:pt>
                <c:pt idx="7">
                  <c:v>Overige (gedrukte) boeken </c:v>
                </c:pt>
                <c:pt idx="8">
                  <c:v>Overige tekstuele materialen</c:v>
                </c:pt>
                <c:pt idx="9">
                  <c:v>Kranten</c:v>
                </c:pt>
              </c:strCache>
            </c:strRef>
          </c:cat>
          <c:val>
            <c:numRef>
              <c:f>Q18A!$B$49:$K$49</c:f>
              <c:numCache>
                <c:formatCode>0</c:formatCode>
                <c:ptCount val="10"/>
                <c:pt idx="0">
                  <c:v>39.584554334554333</c:v>
                </c:pt>
                <c:pt idx="1">
                  <c:v>15</c:v>
                </c:pt>
                <c:pt idx="2">
                  <c:v>53.5</c:v>
                </c:pt>
                <c:pt idx="3">
                  <c:v>15</c:v>
                </c:pt>
                <c:pt idx="4">
                  <c:v>85</c:v>
                </c:pt>
                <c:pt idx="5">
                  <c:v>22.5</c:v>
                </c:pt>
                <c:pt idx="6">
                  <c:v>35.153846153846153</c:v>
                </c:pt>
                <c:pt idx="7">
                  <c:v>16</c:v>
                </c:pt>
                <c:pt idx="8">
                  <c:v>73.25</c:v>
                </c:pt>
                <c:pt idx="9">
                  <c:v>40.857142857142854</c:v>
                </c:pt>
              </c:numCache>
            </c:numRef>
          </c:val>
        </c:ser>
        <c:ser>
          <c:idx val="2"/>
          <c:order val="2"/>
          <c:tx>
            <c:strRef>
              <c:f>Q18A!$A$50</c:f>
              <c:strCache>
                <c:ptCount val="1"/>
                <c:pt idx="0">
                  <c:v>Geschat % van de volledige collectie dat niet digitaal gereproduceerd hoeft te worden</c:v>
                </c:pt>
              </c:strCache>
            </c:strRef>
          </c:tx>
          <c:cat>
            <c:strRef>
              <c:f>Q18A!$B$47:$K$47</c:f>
              <c:strCache>
                <c:ptCount val="10"/>
                <c:pt idx="0">
                  <c:v>Totaal</c:v>
                </c:pt>
                <c:pt idx="1">
                  <c:v>Wetensch. tijdschriften</c:v>
                </c:pt>
                <c:pt idx="2">
                  <c:v>Overige handschriften</c:v>
                </c:pt>
                <c:pt idx="3">
                  <c:v>Microforms en microfilms</c:v>
                </c:pt>
                <c:pt idx="4">
                  <c:v>Middeleeuwse handschriften</c:v>
                </c:pt>
                <c:pt idx="5">
                  <c:v>Overige tijdschriften</c:v>
                </c:pt>
                <c:pt idx="6">
                  <c:v>Zeldzame (gedrukte) boeken</c:v>
                </c:pt>
                <c:pt idx="7">
                  <c:v>Overige (gedrukte) boeken </c:v>
                </c:pt>
                <c:pt idx="8">
                  <c:v>Overige tekstuele materialen</c:v>
                </c:pt>
                <c:pt idx="9">
                  <c:v>Kranten</c:v>
                </c:pt>
              </c:strCache>
            </c:strRef>
          </c:cat>
          <c:val>
            <c:numRef>
              <c:f>Q18A!$B$50:$K$50</c:f>
              <c:numCache>
                <c:formatCode>0</c:formatCode>
                <c:ptCount val="10"/>
                <c:pt idx="0">
                  <c:v>46.442104192104196</c:v>
                </c:pt>
                <c:pt idx="1">
                  <c:v>84.166666666666671</c:v>
                </c:pt>
                <c:pt idx="2">
                  <c:v>43.833333333333336</c:v>
                </c:pt>
                <c:pt idx="3">
                  <c:v>81.666666666666671</c:v>
                </c:pt>
                <c:pt idx="4">
                  <c:v>4.666666666666667</c:v>
                </c:pt>
                <c:pt idx="5">
                  <c:v>61</c:v>
                </c:pt>
                <c:pt idx="6">
                  <c:v>46.53846153846154</c:v>
                </c:pt>
                <c:pt idx="7">
                  <c:v>66</c:v>
                </c:pt>
                <c:pt idx="8">
                  <c:v>1.25</c:v>
                </c:pt>
                <c:pt idx="9">
                  <c:v>28.857142857142858</c:v>
                </c:pt>
              </c:numCache>
            </c:numRef>
          </c:val>
        </c:ser>
        <c:gapWidth val="75"/>
        <c:overlap val="100"/>
        <c:axId val="110872832"/>
        <c:axId val="110878720"/>
      </c:barChart>
      <c:catAx>
        <c:axId val="110872832"/>
        <c:scaling>
          <c:orientation val="minMax"/>
        </c:scaling>
        <c:axPos val="l"/>
        <c:majorTickMark val="none"/>
        <c:tickLblPos val="nextTo"/>
        <c:crossAx val="110878720"/>
        <c:crosses val="autoZero"/>
        <c:auto val="1"/>
        <c:lblAlgn val="ctr"/>
        <c:lblOffset val="100"/>
      </c:catAx>
      <c:valAx>
        <c:axId val="110878720"/>
        <c:scaling>
          <c:orientation val="minMax"/>
        </c:scaling>
        <c:axPos val="b"/>
        <c:majorGridlines/>
        <c:numFmt formatCode="0%" sourceLinked="1"/>
        <c:majorTickMark val="none"/>
        <c:tickLblPos val="nextTo"/>
        <c:spPr>
          <a:ln w="9525">
            <a:noFill/>
          </a:ln>
        </c:spPr>
        <c:crossAx val="110872832"/>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effectLst/>
              </a:rPr>
              <a:t>Voortgang digitalisering van visuele 2D bronnen (n=26)</a:t>
            </a:r>
            <a:endParaRPr lang="nl-NL">
              <a:effectLst/>
            </a:endParaRPr>
          </a:p>
        </c:rich>
      </c:tx>
      <c:layout/>
    </c:title>
    <c:plotArea>
      <c:layout/>
      <c:barChart>
        <c:barDir val="bar"/>
        <c:grouping val="percentStacked"/>
        <c:ser>
          <c:idx val="0"/>
          <c:order val="0"/>
          <c:tx>
            <c:strRef>
              <c:f>'18B'!$A$54</c:f>
              <c:strCache>
                <c:ptCount val="1"/>
                <c:pt idx="0">
                  <c:v>Geschat % van de analoge collectie dat digitaal gereproduceerd is </c:v>
                </c:pt>
              </c:strCache>
            </c:strRef>
          </c:tx>
          <c:cat>
            <c:strRef>
              <c:f>'18B'!$B$53:$J$53</c:f>
              <c:strCache>
                <c:ptCount val="9"/>
                <c:pt idx="0">
                  <c:v>Totaal</c:v>
                </c:pt>
                <c:pt idx="1">
                  <c:v>Overige visuele (2D) objecten</c:v>
                </c:pt>
                <c:pt idx="2">
                  <c:v>Bladmuziek</c:v>
                </c:pt>
                <c:pt idx="3">
                  <c:v>Kaarten en plattegronden</c:v>
                </c:pt>
                <c:pt idx="4">
                  <c:v>Tekeningen</c:v>
                </c:pt>
                <c:pt idx="5">
                  <c:v>Foto’s</c:v>
                </c:pt>
                <c:pt idx="6">
                  <c:v>Graveerwerk/prenten</c:v>
                </c:pt>
                <c:pt idx="7">
                  <c:v>Schilderijen</c:v>
                </c:pt>
                <c:pt idx="8">
                  <c:v>Posters</c:v>
                </c:pt>
              </c:strCache>
            </c:strRef>
          </c:cat>
          <c:val>
            <c:numRef>
              <c:f>'18B'!$B$54:$J$54</c:f>
              <c:numCache>
                <c:formatCode>0</c:formatCode>
                <c:ptCount val="9"/>
                <c:pt idx="0">
                  <c:v>38.24324009324009</c:v>
                </c:pt>
                <c:pt idx="1">
                  <c:v>3.3333333333333335</c:v>
                </c:pt>
                <c:pt idx="2">
                  <c:v>33.333333333333336</c:v>
                </c:pt>
                <c:pt idx="3">
                  <c:v>37.18181818181818</c:v>
                </c:pt>
                <c:pt idx="4">
                  <c:v>55.230769230769234</c:v>
                </c:pt>
                <c:pt idx="5">
                  <c:v>57</c:v>
                </c:pt>
                <c:pt idx="6">
                  <c:v>56.866666666666667</c:v>
                </c:pt>
                <c:pt idx="7">
                  <c:v>63</c:v>
                </c:pt>
                <c:pt idx="8">
                  <c:v>66</c:v>
                </c:pt>
              </c:numCache>
            </c:numRef>
          </c:val>
        </c:ser>
        <c:ser>
          <c:idx val="1"/>
          <c:order val="1"/>
          <c:tx>
            <c:strRef>
              <c:f>'18B'!$A$55</c:f>
              <c:strCache>
                <c:ptCount val="1"/>
                <c:pt idx="0">
                  <c:v>Geschat % van de gehele collectie dat nog gedigitaliseerd moet worden</c:v>
                </c:pt>
              </c:strCache>
            </c:strRef>
          </c:tx>
          <c:cat>
            <c:strRef>
              <c:f>'18B'!$B$53:$J$53</c:f>
              <c:strCache>
                <c:ptCount val="9"/>
                <c:pt idx="0">
                  <c:v>Totaal</c:v>
                </c:pt>
                <c:pt idx="1">
                  <c:v>Overige visuele (2D) objecten</c:v>
                </c:pt>
                <c:pt idx="2">
                  <c:v>Bladmuziek</c:v>
                </c:pt>
                <c:pt idx="3">
                  <c:v>Kaarten en plattegronden</c:v>
                </c:pt>
                <c:pt idx="4">
                  <c:v>Tekeningen</c:v>
                </c:pt>
                <c:pt idx="5">
                  <c:v>Foto’s</c:v>
                </c:pt>
                <c:pt idx="6">
                  <c:v>Graveerwerk/prenten</c:v>
                </c:pt>
                <c:pt idx="7">
                  <c:v>Schilderijen</c:v>
                </c:pt>
                <c:pt idx="8">
                  <c:v>Posters</c:v>
                </c:pt>
              </c:strCache>
            </c:strRef>
          </c:cat>
          <c:val>
            <c:numRef>
              <c:f>'18B'!$B$55:$J$55</c:f>
              <c:numCache>
                <c:formatCode>0</c:formatCode>
                <c:ptCount val="9"/>
                <c:pt idx="0">
                  <c:v>39.440909090909088</c:v>
                </c:pt>
                <c:pt idx="1">
                  <c:v>68.333333333333329</c:v>
                </c:pt>
                <c:pt idx="2">
                  <c:v>33.333333333333336</c:v>
                </c:pt>
                <c:pt idx="3">
                  <c:v>57.727272727272727</c:v>
                </c:pt>
                <c:pt idx="4">
                  <c:v>45</c:v>
                </c:pt>
                <c:pt idx="5">
                  <c:v>31</c:v>
                </c:pt>
                <c:pt idx="6">
                  <c:v>43.133333333333333</c:v>
                </c:pt>
                <c:pt idx="7">
                  <c:v>37</c:v>
                </c:pt>
                <c:pt idx="8">
                  <c:v>28.75</c:v>
                </c:pt>
              </c:numCache>
            </c:numRef>
          </c:val>
        </c:ser>
        <c:ser>
          <c:idx val="2"/>
          <c:order val="2"/>
          <c:tx>
            <c:strRef>
              <c:f>'18B'!$A$56</c:f>
              <c:strCache>
                <c:ptCount val="1"/>
                <c:pt idx="0">
                  <c:v>Geschat % van de volledige collectie dat niet digitaal gereproduceerd hoeft te worden</c:v>
                </c:pt>
              </c:strCache>
            </c:strRef>
          </c:tx>
          <c:cat>
            <c:strRef>
              <c:f>'18B'!$B$53:$J$53</c:f>
              <c:strCache>
                <c:ptCount val="9"/>
                <c:pt idx="0">
                  <c:v>Totaal</c:v>
                </c:pt>
                <c:pt idx="1">
                  <c:v>Overige visuele (2D) objecten</c:v>
                </c:pt>
                <c:pt idx="2">
                  <c:v>Bladmuziek</c:v>
                </c:pt>
                <c:pt idx="3">
                  <c:v>Kaarten en plattegronden</c:v>
                </c:pt>
                <c:pt idx="4">
                  <c:v>Tekeningen</c:v>
                </c:pt>
                <c:pt idx="5">
                  <c:v>Foto’s</c:v>
                </c:pt>
                <c:pt idx="6">
                  <c:v>Graveerwerk/prenten</c:v>
                </c:pt>
                <c:pt idx="7">
                  <c:v>Schilderijen</c:v>
                </c:pt>
                <c:pt idx="8">
                  <c:v>Posters</c:v>
                </c:pt>
              </c:strCache>
            </c:strRef>
          </c:cat>
          <c:val>
            <c:numRef>
              <c:f>'18B'!$B$56:$J$56</c:f>
              <c:numCache>
                <c:formatCode>0</c:formatCode>
                <c:ptCount val="9"/>
                <c:pt idx="0">
                  <c:v>9.8560606060606073</c:v>
                </c:pt>
                <c:pt idx="1">
                  <c:v>28.333333333333332</c:v>
                </c:pt>
                <c:pt idx="2">
                  <c:v>33.333333333333336</c:v>
                </c:pt>
                <c:pt idx="3">
                  <c:v>5.1818181818181817</c:v>
                </c:pt>
                <c:pt idx="4">
                  <c:v>0</c:v>
                </c:pt>
                <c:pt idx="5">
                  <c:v>12</c:v>
                </c:pt>
                <c:pt idx="6">
                  <c:v>0</c:v>
                </c:pt>
                <c:pt idx="7">
                  <c:v>0</c:v>
                </c:pt>
                <c:pt idx="8">
                  <c:v>5</c:v>
                </c:pt>
              </c:numCache>
            </c:numRef>
          </c:val>
        </c:ser>
        <c:gapWidth val="75"/>
        <c:overlap val="100"/>
        <c:axId val="108844544"/>
        <c:axId val="108846080"/>
      </c:barChart>
      <c:catAx>
        <c:axId val="108844544"/>
        <c:scaling>
          <c:orientation val="minMax"/>
        </c:scaling>
        <c:axPos val="l"/>
        <c:majorTickMark val="none"/>
        <c:tickLblPos val="nextTo"/>
        <c:crossAx val="108846080"/>
        <c:crosses val="autoZero"/>
        <c:auto val="1"/>
        <c:lblAlgn val="ctr"/>
        <c:lblOffset val="100"/>
      </c:catAx>
      <c:valAx>
        <c:axId val="108846080"/>
        <c:scaling>
          <c:orientation val="minMax"/>
        </c:scaling>
        <c:axPos val="b"/>
        <c:majorGridlines/>
        <c:numFmt formatCode="0%" sourceLinked="1"/>
        <c:majorTickMark val="none"/>
        <c:tickLblPos val="nextTo"/>
        <c:spPr>
          <a:ln w="9525">
            <a:noFill/>
          </a:ln>
        </c:spPr>
        <c:crossAx val="108844544"/>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effectLst/>
              </a:rPr>
              <a:t>Voortgang digitalisering archiefmateriaal (n=12)</a:t>
            </a:r>
            <a:endParaRPr lang="nl-NL">
              <a:effectLst/>
            </a:endParaRPr>
          </a:p>
        </c:rich>
      </c:tx>
      <c:layout/>
    </c:title>
    <c:plotArea>
      <c:layout/>
      <c:barChart>
        <c:barDir val="bar"/>
        <c:grouping val="percentStacked"/>
        <c:ser>
          <c:idx val="0"/>
          <c:order val="0"/>
          <c:tx>
            <c:strRef>
              <c:f>'18C'!$A$32</c:f>
              <c:strCache>
                <c:ptCount val="1"/>
                <c:pt idx="0">
                  <c:v>Geschat % van de analoge collectie dat digitaal gereproduceerd is </c:v>
                </c:pt>
              </c:strCache>
            </c:strRef>
          </c:tx>
          <c:cat>
            <c:strRef>
              <c:f>'18C'!$B$31:$D$31</c:f>
              <c:strCache>
                <c:ptCount val="3"/>
                <c:pt idx="0">
                  <c:v>Totaal</c:v>
                </c:pt>
                <c:pt idx="1">
                  <c:v>Archieven: overige archivalia</c:v>
                </c:pt>
                <c:pt idx="2">
                  <c:v>Archieven: overheidsdocumenten</c:v>
                </c:pt>
              </c:strCache>
            </c:strRef>
          </c:cat>
          <c:val>
            <c:numRef>
              <c:f>'18C'!$B$32:$D$32</c:f>
              <c:numCache>
                <c:formatCode>0</c:formatCode>
                <c:ptCount val="3"/>
                <c:pt idx="0">
                  <c:v>1.9166666666666667</c:v>
                </c:pt>
                <c:pt idx="1">
                  <c:v>0.83333333333333337</c:v>
                </c:pt>
                <c:pt idx="2">
                  <c:v>3</c:v>
                </c:pt>
              </c:numCache>
            </c:numRef>
          </c:val>
        </c:ser>
        <c:ser>
          <c:idx val="1"/>
          <c:order val="1"/>
          <c:tx>
            <c:strRef>
              <c:f>'18C'!$A$33</c:f>
              <c:strCache>
                <c:ptCount val="1"/>
                <c:pt idx="0">
                  <c:v>Geschat % van de gehele collectie dat nog gedigitaliseerd moet worden</c:v>
                </c:pt>
              </c:strCache>
            </c:strRef>
          </c:tx>
          <c:cat>
            <c:strRef>
              <c:f>'18C'!$B$31:$D$31</c:f>
              <c:strCache>
                <c:ptCount val="3"/>
                <c:pt idx="0">
                  <c:v>Totaal</c:v>
                </c:pt>
                <c:pt idx="1">
                  <c:v>Archieven: overige archivalia</c:v>
                </c:pt>
                <c:pt idx="2">
                  <c:v>Archieven: overheidsdocumenten</c:v>
                </c:pt>
              </c:strCache>
            </c:strRef>
          </c:cat>
          <c:val>
            <c:numRef>
              <c:f>'18C'!$B$33:$D$33</c:f>
              <c:numCache>
                <c:formatCode>0</c:formatCode>
                <c:ptCount val="3"/>
                <c:pt idx="0">
                  <c:v>45.041666666666671</c:v>
                </c:pt>
                <c:pt idx="1">
                  <c:v>51.333333333333336</c:v>
                </c:pt>
                <c:pt idx="2">
                  <c:v>38.75</c:v>
                </c:pt>
              </c:numCache>
            </c:numRef>
          </c:val>
        </c:ser>
        <c:ser>
          <c:idx val="2"/>
          <c:order val="2"/>
          <c:tx>
            <c:strRef>
              <c:f>'18C'!$A$34</c:f>
              <c:strCache>
                <c:ptCount val="1"/>
                <c:pt idx="0">
                  <c:v>Geschat % van de volledige collectie dat niet digitaal gereproduceerd hoeft te worden</c:v>
                </c:pt>
              </c:strCache>
            </c:strRef>
          </c:tx>
          <c:cat>
            <c:strRef>
              <c:f>'18C'!$B$31:$D$31</c:f>
              <c:strCache>
                <c:ptCount val="3"/>
                <c:pt idx="0">
                  <c:v>Totaal</c:v>
                </c:pt>
                <c:pt idx="1">
                  <c:v>Archieven: overige archivalia</c:v>
                </c:pt>
                <c:pt idx="2">
                  <c:v>Archieven: overheidsdocumenten</c:v>
                </c:pt>
              </c:strCache>
            </c:strRef>
          </c:cat>
          <c:val>
            <c:numRef>
              <c:f>'18C'!$B$34:$D$34</c:f>
              <c:numCache>
                <c:formatCode>0</c:formatCode>
                <c:ptCount val="3"/>
                <c:pt idx="0">
                  <c:v>53.041666666666671</c:v>
                </c:pt>
                <c:pt idx="1">
                  <c:v>47.833333333333336</c:v>
                </c:pt>
                <c:pt idx="2">
                  <c:v>58.25</c:v>
                </c:pt>
              </c:numCache>
            </c:numRef>
          </c:val>
        </c:ser>
        <c:gapWidth val="75"/>
        <c:overlap val="100"/>
        <c:axId val="111038848"/>
        <c:axId val="111040384"/>
      </c:barChart>
      <c:catAx>
        <c:axId val="111038848"/>
        <c:scaling>
          <c:orientation val="minMax"/>
        </c:scaling>
        <c:axPos val="l"/>
        <c:majorTickMark val="none"/>
        <c:tickLblPos val="nextTo"/>
        <c:crossAx val="111040384"/>
        <c:crosses val="autoZero"/>
        <c:auto val="1"/>
        <c:lblAlgn val="ctr"/>
        <c:lblOffset val="100"/>
      </c:catAx>
      <c:valAx>
        <c:axId val="111040384"/>
        <c:scaling>
          <c:orientation val="minMax"/>
        </c:scaling>
        <c:axPos val="b"/>
        <c:majorGridlines/>
        <c:numFmt formatCode="0%" sourceLinked="1"/>
        <c:majorTickMark val="none"/>
        <c:tickLblPos val="nextTo"/>
        <c:spPr>
          <a:ln w="9525">
            <a:noFill/>
          </a:ln>
        </c:spPr>
        <c:crossAx val="111038848"/>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effectLst/>
              </a:rPr>
              <a:t>Voortgang digitalisering van 3-dimensionale door de mens gemaakte objecten (n=14)</a:t>
            </a:r>
            <a:endParaRPr lang="nl-NL">
              <a:effectLst/>
            </a:endParaRPr>
          </a:p>
        </c:rich>
      </c:tx>
      <c:layout/>
    </c:title>
    <c:plotArea>
      <c:layout/>
      <c:barChart>
        <c:barDir val="bar"/>
        <c:grouping val="percentStacked"/>
        <c:ser>
          <c:idx val="0"/>
          <c:order val="0"/>
          <c:tx>
            <c:strRef>
              <c:f>'18D'!$A$38</c:f>
              <c:strCache>
                <c:ptCount val="1"/>
                <c:pt idx="0">
                  <c:v>Geschat % van de analoge collectie dat digitaal gereproduceerd is </c:v>
                </c:pt>
              </c:strCache>
            </c:strRef>
          </c:tx>
          <c:cat>
            <c:strRef>
              <c:f>'18D'!$B$37:$G$37</c:f>
              <c:strCache>
                <c:ptCount val="6"/>
                <c:pt idx="0">
                  <c:v>totaal</c:v>
                </c:pt>
                <c:pt idx="1">
                  <c:v>overige gebruiksvoorwerpen</c:v>
                </c:pt>
                <c:pt idx="2">
                  <c:v>archeologische gebruikersvoorwerpen</c:v>
                </c:pt>
                <c:pt idx="3">
                  <c:v>overige 3dimensionale door de mens gemaakte objecten</c:v>
                </c:pt>
                <c:pt idx="4">
                  <c:v>munten en penningen</c:v>
                </c:pt>
                <c:pt idx="5">
                  <c:v>3-dimensionale kunstwerken</c:v>
                </c:pt>
              </c:strCache>
            </c:strRef>
          </c:cat>
          <c:val>
            <c:numRef>
              <c:f>'18D'!$B$38:$G$38</c:f>
              <c:numCache>
                <c:formatCode>0</c:formatCode>
                <c:ptCount val="6"/>
                <c:pt idx="0">
                  <c:v>30.316666666666663</c:v>
                </c:pt>
                <c:pt idx="1">
                  <c:v>24</c:v>
                </c:pt>
                <c:pt idx="2">
                  <c:v>25.333333333333332</c:v>
                </c:pt>
                <c:pt idx="3">
                  <c:v>28.75</c:v>
                </c:pt>
                <c:pt idx="4">
                  <c:v>30.5</c:v>
                </c:pt>
                <c:pt idx="5">
                  <c:v>43</c:v>
                </c:pt>
              </c:numCache>
            </c:numRef>
          </c:val>
        </c:ser>
        <c:ser>
          <c:idx val="1"/>
          <c:order val="1"/>
          <c:tx>
            <c:strRef>
              <c:f>'18D'!$A$39</c:f>
              <c:strCache>
                <c:ptCount val="1"/>
                <c:pt idx="0">
                  <c:v>Geschat % van de gehele collectie dat nog gedigitaliseerd moet worden</c:v>
                </c:pt>
              </c:strCache>
            </c:strRef>
          </c:tx>
          <c:cat>
            <c:strRef>
              <c:f>'18D'!$B$37:$G$37</c:f>
              <c:strCache>
                <c:ptCount val="6"/>
                <c:pt idx="0">
                  <c:v>totaal</c:v>
                </c:pt>
                <c:pt idx="1">
                  <c:v>overige gebruiksvoorwerpen</c:v>
                </c:pt>
                <c:pt idx="2">
                  <c:v>archeologische gebruikersvoorwerpen</c:v>
                </c:pt>
                <c:pt idx="3">
                  <c:v>overige 3dimensionale door de mens gemaakte objecten</c:v>
                </c:pt>
                <c:pt idx="4">
                  <c:v>munten en penningen</c:v>
                </c:pt>
                <c:pt idx="5">
                  <c:v>3-dimensionale kunstwerken</c:v>
                </c:pt>
              </c:strCache>
            </c:strRef>
          </c:cat>
          <c:val>
            <c:numRef>
              <c:f>'18D'!$B$39:$G$39</c:f>
              <c:numCache>
                <c:formatCode>0</c:formatCode>
                <c:ptCount val="6"/>
                <c:pt idx="0">
                  <c:v>64.783333333333331</c:v>
                </c:pt>
                <c:pt idx="1">
                  <c:v>56</c:v>
                </c:pt>
                <c:pt idx="2">
                  <c:v>69.666666666666671</c:v>
                </c:pt>
                <c:pt idx="3">
                  <c:v>71.25</c:v>
                </c:pt>
                <c:pt idx="4">
                  <c:v>70</c:v>
                </c:pt>
                <c:pt idx="5">
                  <c:v>57</c:v>
                </c:pt>
              </c:numCache>
            </c:numRef>
          </c:val>
        </c:ser>
        <c:ser>
          <c:idx val="2"/>
          <c:order val="2"/>
          <c:tx>
            <c:strRef>
              <c:f>'18D'!$A$40</c:f>
              <c:strCache>
                <c:ptCount val="1"/>
                <c:pt idx="0">
                  <c:v>Geschat % van de volledige collectie dat niet digitaal gereproduceerd hoeft te worden</c:v>
                </c:pt>
              </c:strCache>
            </c:strRef>
          </c:tx>
          <c:cat>
            <c:strRef>
              <c:f>'18D'!$B$37:$G$37</c:f>
              <c:strCache>
                <c:ptCount val="6"/>
                <c:pt idx="0">
                  <c:v>totaal</c:v>
                </c:pt>
                <c:pt idx="1">
                  <c:v>overige gebruiksvoorwerpen</c:v>
                </c:pt>
                <c:pt idx="2">
                  <c:v>archeologische gebruikersvoorwerpen</c:v>
                </c:pt>
                <c:pt idx="3">
                  <c:v>overige 3dimensionale door de mens gemaakte objecten</c:v>
                </c:pt>
                <c:pt idx="4">
                  <c:v>munten en penningen</c:v>
                </c:pt>
                <c:pt idx="5">
                  <c:v>3-dimensionale kunstwerken</c:v>
                </c:pt>
              </c:strCache>
            </c:strRef>
          </c:cat>
          <c:val>
            <c:numRef>
              <c:f>'18D'!$B$40:$G$40</c:f>
              <c:numCache>
                <c:formatCode>0</c:formatCode>
                <c:ptCount val="6"/>
                <c:pt idx="0">
                  <c:v>5.0666666666666664</c:v>
                </c:pt>
                <c:pt idx="1">
                  <c:v>20</c:v>
                </c:pt>
                <c:pt idx="2">
                  <c:v>5.333333333333333</c:v>
                </c:pt>
                <c:pt idx="3">
                  <c:v>0</c:v>
                </c:pt>
                <c:pt idx="4">
                  <c:v>0</c:v>
                </c:pt>
                <c:pt idx="5">
                  <c:v>0</c:v>
                </c:pt>
              </c:numCache>
            </c:numRef>
          </c:val>
        </c:ser>
        <c:gapWidth val="75"/>
        <c:overlap val="100"/>
        <c:axId val="111086976"/>
        <c:axId val="111101056"/>
      </c:barChart>
      <c:catAx>
        <c:axId val="111086976"/>
        <c:scaling>
          <c:orientation val="minMax"/>
        </c:scaling>
        <c:axPos val="l"/>
        <c:majorTickMark val="none"/>
        <c:tickLblPos val="nextTo"/>
        <c:crossAx val="111101056"/>
        <c:crosses val="autoZero"/>
        <c:auto val="1"/>
        <c:lblAlgn val="ctr"/>
        <c:lblOffset val="100"/>
      </c:catAx>
      <c:valAx>
        <c:axId val="111101056"/>
        <c:scaling>
          <c:orientation val="minMax"/>
        </c:scaling>
        <c:axPos val="b"/>
        <c:majorGridlines/>
        <c:numFmt formatCode="0%" sourceLinked="1"/>
        <c:majorTickMark val="none"/>
        <c:tickLblPos val="nextTo"/>
        <c:spPr>
          <a:ln w="9525">
            <a:noFill/>
          </a:ln>
        </c:spPr>
        <c:crossAx val="111086976"/>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effectLst/>
              </a:rPr>
              <a:t>Voortgang digitalisering natuurobjecten (n=5)</a:t>
            </a:r>
            <a:endParaRPr lang="nl-NL">
              <a:effectLst/>
            </a:endParaRPr>
          </a:p>
        </c:rich>
      </c:tx>
      <c:layout/>
    </c:title>
    <c:plotArea>
      <c:layout/>
      <c:barChart>
        <c:barDir val="bar"/>
        <c:grouping val="percentStacked"/>
        <c:ser>
          <c:idx val="0"/>
          <c:order val="0"/>
          <c:tx>
            <c:strRef>
              <c:f>'18E'!$A$29</c:f>
              <c:strCache>
                <c:ptCount val="1"/>
                <c:pt idx="0">
                  <c:v>Geschat % van de analoge collectie dat digitaal gereproduceerd is </c:v>
                </c:pt>
              </c:strCache>
            </c:strRef>
          </c:tx>
          <c:cat>
            <c:strRef>
              <c:f>'18E'!$B$28:$D$28</c:f>
              <c:strCache>
                <c:ptCount val="3"/>
                <c:pt idx="0">
                  <c:v>Totaal</c:v>
                </c:pt>
                <c:pt idx="1">
                  <c:v>Objecten van anorganisch materiaal</c:v>
                </c:pt>
                <c:pt idx="2">
                  <c:v>Objecten van organisch materiaal</c:v>
                </c:pt>
              </c:strCache>
            </c:strRef>
          </c:cat>
          <c:val>
            <c:numRef>
              <c:f>'18E'!$B$29:$D$29</c:f>
              <c:numCache>
                <c:formatCode>0</c:formatCode>
                <c:ptCount val="3"/>
                <c:pt idx="0">
                  <c:v>20.166666666666664</c:v>
                </c:pt>
                <c:pt idx="1">
                  <c:v>3.6666666666666665</c:v>
                </c:pt>
                <c:pt idx="2">
                  <c:v>36.666666666666664</c:v>
                </c:pt>
              </c:numCache>
            </c:numRef>
          </c:val>
        </c:ser>
        <c:ser>
          <c:idx val="1"/>
          <c:order val="1"/>
          <c:tx>
            <c:strRef>
              <c:f>'18E'!$A$30</c:f>
              <c:strCache>
                <c:ptCount val="1"/>
                <c:pt idx="0">
                  <c:v>Geschat % van de gehele collectie dat nog gedigitaliseerd moet worden</c:v>
                </c:pt>
              </c:strCache>
            </c:strRef>
          </c:tx>
          <c:cat>
            <c:strRef>
              <c:f>'18E'!$B$28:$D$28</c:f>
              <c:strCache>
                <c:ptCount val="3"/>
                <c:pt idx="0">
                  <c:v>Totaal</c:v>
                </c:pt>
                <c:pt idx="1">
                  <c:v>Objecten van anorganisch materiaal</c:v>
                </c:pt>
                <c:pt idx="2">
                  <c:v>Objecten van organisch materiaal</c:v>
                </c:pt>
              </c:strCache>
            </c:strRef>
          </c:cat>
          <c:val>
            <c:numRef>
              <c:f>'18E'!$B$30:$D$30</c:f>
              <c:numCache>
                <c:formatCode>0</c:formatCode>
                <c:ptCount val="3"/>
                <c:pt idx="0">
                  <c:v>51.333333333333336</c:v>
                </c:pt>
                <c:pt idx="1">
                  <c:v>76</c:v>
                </c:pt>
                <c:pt idx="2">
                  <c:v>26.666666666666668</c:v>
                </c:pt>
              </c:numCache>
            </c:numRef>
          </c:val>
        </c:ser>
        <c:ser>
          <c:idx val="2"/>
          <c:order val="2"/>
          <c:tx>
            <c:strRef>
              <c:f>'18E'!$A$31</c:f>
              <c:strCache>
                <c:ptCount val="1"/>
                <c:pt idx="0">
                  <c:v>Geschat % van de volledige collectie dat niet digitaal gereproduceerd hoeft te worden</c:v>
                </c:pt>
              </c:strCache>
            </c:strRef>
          </c:tx>
          <c:cat>
            <c:strRef>
              <c:f>'18E'!$B$28:$D$28</c:f>
              <c:strCache>
                <c:ptCount val="3"/>
                <c:pt idx="0">
                  <c:v>Totaal</c:v>
                </c:pt>
                <c:pt idx="1">
                  <c:v>Objecten van anorganisch materiaal</c:v>
                </c:pt>
                <c:pt idx="2">
                  <c:v>Objecten van organisch materiaal</c:v>
                </c:pt>
              </c:strCache>
            </c:strRef>
          </c:cat>
          <c:val>
            <c:numRef>
              <c:f>'18E'!$B$31:$D$31</c:f>
              <c:numCache>
                <c:formatCode>0</c:formatCode>
                <c:ptCount val="3"/>
                <c:pt idx="0">
                  <c:v>28.333333333333332</c:v>
                </c:pt>
                <c:pt idx="1">
                  <c:v>20</c:v>
                </c:pt>
                <c:pt idx="2">
                  <c:v>36.666666666666664</c:v>
                </c:pt>
              </c:numCache>
            </c:numRef>
          </c:val>
        </c:ser>
        <c:gapWidth val="75"/>
        <c:overlap val="100"/>
        <c:axId val="110975616"/>
        <c:axId val="110993792"/>
      </c:barChart>
      <c:catAx>
        <c:axId val="110975616"/>
        <c:scaling>
          <c:orientation val="minMax"/>
        </c:scaling>
        <c:axPos val="l"/>
        <c:majorTickMark val="none"/>
        <c:tickLblPos val="nextTo"/>
        <c:crossAx val="110993792"/>
        <c:crosses val="autoZero"/>
        <c:auto val="1"/>
        <c:lblAlgn val="ctr"/>
        <c:lblOffset val="100"/>
      </c:catAx>
      <c:valAx>
        <c:axId val="110993792"/>
        <c:scaling>
          <c:orientation val="minMax"/>
        </c:scaling>
        <c:axPos val="b"/>
        <c:majorGridlines/>
        <c:numFmt formatCode="0%" sourceLinked="1"/>
        <c:majorTickMark val="none"/>
        <c:tickLblPos val="nextTo"/>
        <c:spPr>
          <a:ln w="9525">
            <a:noFill/>
          </a:ln>
        </c:spPr>
        <c:crossAx val="110975616"/>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effectLst/>
              </a:rPr>
              <a:t>Voortgang digitalisering lokatiegebonden erfgoed (n=7)</a:t>
            </a:r>
            <a:endParaRPr lang="nl-NL">
              <a:effectLst/>
            </a:endParaRPr>
          </a:p>
        </c:rich>
      </c:tx>
      <c:layout/>
    </c:title>
    <c:plotArea>
      <c:layout/>
      <c:barChart>
        <c:barDir val="bar"/>
        <c:grouping val="percentStacked"/>
        <c:ser>
          <c:idx val="0"/>
          <c:order val="0"/>
          <c:tx>
            <c:strRef>
              <c:f>'18F'!$A$31</c:f>
              <c:strCache>
                <c:ptCount val="1"/>
                <c:pt idx="0">
                  <c:v>Geschat % van de analoge collectie dat digitaal gereproduceerd is </c:v>
                </c:pt>
              </c:strCache>
            </c:strRef>
          </c:tx>
          <c:cat>
            <c:strRef>
              <c:f>'18F'!$B$30:$F$30</c:f>
              <c:strCache>
                <c:ptCount val="5"/>
                <c:pt idx="0">
                  <c:v>totaal</c:v>
                </c:pt>
                <c:pt idx="1">
                  <c:v>Archeologische sites</c:v>
                </c:pt>
                <c:pt idx="2">
                  <c:v>Landschappen</c:v>
                </c:pt>
                <c:pt idx="3">
                  <c:v>Overig locatie-gebonden erfgoed</c:v>
                </c:pt>
                <c:pt idx="4">
                  <c:v>Monumenten en andere bouwwerken</c:v>
                </c:pt>
              </c:strCache>
            </c:strRef>
          </c:cat>
          <c:val>
            <c:numRef>
              <c:f>'18F'!$B$31:$F$31</c:f>
              <c:numCache>
                <c:formatCode>0</c:formatCode>
                <c:ptCount val="5"/>
                <c:pt idx="0">
                  <c:v>54.166666666666671</c:v>
                </c:pt>
                <c:pt idx="1">
                  <c:v>0</c:v>
                </c:pt>
                <c:pt idx="2">
                  <c:v>66.666666666666671</c:v>
                </c:pt>
                <c:pt idx="3">
                  <c:v>75</c:v>
                </c:pt>
                <c:pt idx="4">
                  <c:v>75</c:v>
                </c:pt>
              </c:numCache>
            </c:numRef>
          </c:val>
        </c:ser>
        <c:ser>
          <c:idx val="1"/>
          <c:order val="1"/>
          <c:tx>
            <c:strRef>
              <c:f>'18F'!$A$32</c:f>
              <c:strCache>
                <c:ptCount val="1"/>
                <c:pt idx="0">
                  <c:v>Geschat % van de gehele collectie dat nog gedigitaliseerd moet worden</c:v>
                </c:pt>
              </c:strCache>
            </c:strRef>
          </c:tx>
          <c:cat>
            <c:strRef>
              <c:f>'18F'!$B$30:$F$30</c:f>
              <c:strCache>
                <c:ptCount val="5"/>
                <c:pt idx="0">
                  <c:v>totaal</c:v>
                </c:pt>
                <c:pt idx="1">
                  <c:v>Archeologische sites</c:v>
                </c:pt>
                <c:pt idx="2">
                  <c:v>Landschappen</c:v>
                </c:pt>
                <c:pt idx="3">
                  <c:v>Overig locatie-gebonden erfgoed</c:v>
                </c:pt>
                <c:pt idx="4">
                  <c:v>Monumenten en andere bouwwerken</c:v>
                </c:pt>
              </c:strCache>
            </c:strRef>
          </c:cat>
          <c:val>
            <c:numRef>
              <c:f>'18F'!$B$32:$F$32</c:f>
              <c:numCache>
                <c:formatCode>0</c:formatCode>
                <c:ptCount val="5"/>
                <c:pt idx="0">
                  <c:v>20.833333333333336</c:v>
                </c:pt>
                <c:pt idx="1">
                  <c:v>100</c:v>
                </c:pt>
                <c:pt idx="2">
                  <c:v>33.333333333333336</c:v>
                </c:pt>
                <c:pt idx="3">
                  <c:v>25</c:v>
                </c:pt>
                <c:pt idx="4">
                  <c:v>25</c:v>
                </c:pt>
              </c:numCache>
            </c:numRef>
          </c:val>
        </c:ser>
        <c:ser>
          <c:idx val="2"/>
          <c:order val="2"/>
          <c:tx>
            <c:strRef>
              <c:f>'18F'!$A$33</c:f>
              <c:strCache>
                <c:ptCount val="1"/>
                <c:pt idx="0">
                  <c:v>Geschat % van de volledige collectie dat niet digitaal gereproduceerd hoeft te worden</c:v>
                </c:pt>
              </c:strCache>
            </c:strRef>
          </c:tx>
          <c:cat>
            <c:strRef>
              <c:f>'18F'!$B$30:$F$30</c:f>
              <c:strCache>
                <c:ptCount val="5"/>
                <c:pt idx="0">
                  <c:v>totaal</c:v>
                </c:pt>
                <c:pt idx="1">
                  <c:v>Archeologische sites</c:v>
                </c:pt>
                <c:pt idx="2">
                  <c:v>Landschappen</c:v>
                </c:pt>
                <c:pt idx="3">
                  <c:v>Overig locatie-gebonden erfgoed</c:v>
                </c:pt>
                <c:pt idx="4">
                  <c:v>Monumenten en andere bouwwerken</c:v>
                </c:pt>
              </c:strCache>
            </c:strRef>
          </c:cat>
          <c:val>
            <c:numRef>
              <c:f>'18F'!$B$33:$F$33</c:f>
              <c:numCache>
                <c:formatCode>0</c:formatCode>
                <c:ptCount val="5"/>
                <c:pt idx="0">
                  <c:v>0</c:v>
                </c:pt>
                <c:pt idx="1">
                  <c:v>0</c:v>
                </c:pt>
                <c:pt idx="2">
                  <c:v>0</c:v>
                </c:pt>
                <c:pt idx="3">
                  <c:v>0</c:v>
                </c:pt>
                <c:pt idx="4">
                  <c:v>0</c:v>
                </c:pt>
              </c:numCache>
            </c:numRef>
          </c:val>
        </c:ser>
        <c:gapWidth val="75"/>
        <c:overlap val="100"/>
        <c:axId val="111159168"/>
        <c:axId val="111160704"/>
      </c:barChart>
      <c:catAx>
        <c:axId val="111159168"/>
        <c:scaling>
          <c:orientation val="minMax"/>
        </c:scaling>
        <c:axPos val="l"/>
        <c:majorTickMark val="none"/>
        <c:tickLblPos val="nextTo"/>
        <c:crossAx val="111160704"/>
        <c:crosses val="autoZero"/>
        <c:auto val="1"/>
        <c:lblAlgn val="ctr"/>
        <c:lblOffset val="100"/>
      </c:catAx>
      <c:valAx>
        <c:axId val="111160704"/>
        <c:scaling>
          <c:orientation val="minMax"/>
        </c:scaling>
        <c:axPos val="b"/>
        <c:majorGridlines/>
        <c:numFmt formatCode="0%" sourceLinked="1"/>
        <c:majorTickMark val="none"/>
        <c:tickLblPos val="nextTo"/>
        <c:spPr>
          <a:ln w="9525">
            <a:noFill/>
          </a:ln>
        </c:spPr>
        <c:crossAx val="111159168"/>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Voortgang digitalisering AV ('time based') (n=13)</a:t>
            </a:r>
          </a:p>
        </c:rich>
      </c:tx>
      <c:layout>
        <c:manualLayout>
          <c:xMode val="edge"/>
          <c:yMode val="edge"/>
          <c:x val="0.1696549826432987"/>
          <c:y val="1.9135093761959435E-2"/>
        </c:manualLayout>
      </c:layout>
    </c:title>
    <c:plotArea>
      <c:layout/>
      <c:barChart>
        <c:barDir val="bar"/>
        <c:grouping val="percentStacked"/>
        <c:ser>
          <c:idx val="0"/>
          <c:order val="0"/>
          <c:tx>
            <c:strRef>
              <c:f>'18G'!$A$39</c:f>
              <c:strCache>
                <c:ptCount val="1"/>
                <c:pt idx="0">
                  <c:v>Geschat % van de analoge collectie dat digitaal gereproduceerd is </c:v>
                </c:pt>
              </c:strCache>
            </c:strRef>
          </c:tx>
          <c:cat>
            <c:strRef>
              <c:f>'18G'!$B$38:$F$38</c:f>
              <c:strCache>
                <c:ptCount val="5"/>
                <c:pt idx="0">
                  <c:v>Totaal</c:v>
                </c:pt>
                <c:pt idx="1">
                  <c:v>Video-opnamen</c:v>
                </c:pt>
                <c:pt idx="2">
                  <c:v>Audio-opnamen: spraak</c:v>
                </c:pt>
                <c:pt idx="3">
                  <c:v>Audio-opnamen: muziek</c:v>
                </c:pt>
                <c:pt idx="4">
                  <c:v>Film</c:v>
                </c:pt>
              </c:strCache>
            </c:strRef>
          </c:cat>
          <c:val>
            <c:numRef>
              <c:f>'18G'!$B$39:$F$39</c:f>
              <c:numCache>
                <c:formatCode>0</c:formatCode>
                <c:ptCount val="5"/>
                <c:pt idx="0">
                  <c:v>26.980654761904763</c:v>
                </c:pt>
                <c:pt idx="1">
                  <c:v>7.833333333333333</c:v>
                </c:pt>
                <c:pt idx="2">
                  <c:v>25.714285714285715</c:v>
                </c:pt>
                <c:pt idx="3">
                  <c:v>31.25</c:v>
                </c:pt>
                <c:pt idx="4">
                  <c:v>43.125</c:v>
                </c:pt>
              </c:numCache>
            </c:numRef>
          </c:val>
        </c:ser>
        <c:ser>
          <c:idx val="1"/>
          <c:order val="1"/>
          <c:tx>
            <c:strRef>
              <c:f>'18G'!$A$40</c:f>
              <c:strCache>
                <c:ptCount val="1"/>
                <c:pt idx="0">
                  <c:v>Geschat % van de gehele collectie dat nog gedigitaliseerd moet worden</c:v>
                </c:pt>
              </c:strCache>
            </c:strRef>
          </c:tx>
          <c:cat>
            <c:strRef>
              <c:f>'18G'!$B$38:$F$38</c:f>
              <c:strCache>
                <c:ptCount val="5"/>
                <c:pt idx="0">
                  <c:v>Totaal</c:v>
                </c:pt>
                <c:pt idx="1">
                  <c:v>Video-opnamen</c:v>
                </c:pt>
                <c:pt idx="2">
                  <c:v>Audio-opnamen: spraak</c:v>
                </c:pt>
                <c:pt idx="3">
                  <c:v>Audio-opnamen: muziek</c:v>
                </c:pt>
                <c:pt idx="4">
                  <c:v>Film</c:v>
                </c:pt>
              </c:strCache>
            </c:strRef>
          </c:cat>
          <c:val>
            <c:numRef>
              <c:f>'18G'!$B$40:$F$40</c:f>
              <c:numCache>
                <c:formatCode>0</c:formatCode>
                <c:ptCount val="5"/>
                <c:pt idx="0">
                  <c:v>48.586309523809526</c:v>
                </c:pt>
                <c:pt idx="1">
                  <c:v>44.166666666666664</c:v>
                </c:pt>
                <c:pt idx="2">
                  <c:v>61.428571428571431</c:v>
                </c:pt>
                <c:pt idx="3">
                  <c:v>45</c:v>
                </c:pt>
                <c:pt idx="4">
                  <c:v>43.75</c:v>
                </c:pt>
              </c:numCache>
            </c:numRef>
          </c:val>
        </c:ser>
        <c:ser>
          <c:idx val="2"/>
          <c:order val="2"/>
          <c:tx>
            <c:strRef>
              <c:f>'18G'!$A$41</c:f>
              <c:strCache>
                <c:ptCount val="1"/>
                <c:pt idx="0">
                  <c:v>Geschat % van de volledige collectie dat niet digitaal gereproduceerd hoeft te worden</c:v>
                </c:pt>
              </c:strCache>
            </c:strRef>
          </c:tx>
          <c:cat>
            <c:strRef>
              <c:f>'18G'!$B$38:$F$38</c:f>
              <c:strCache>
                <c:ptCount val="5"/>
                <c:pt idx="0">
                  <c:v>Totaal</c:v>
                </c:pt>
                <c:pt idx="1">
                  <c:v>Video-opnamen</c:v>
                </c:pt>
                <c:pt idx="2">
                  <c:v>Audio-opnamen: spraak</c:v>
                </c:pt>
                <c:pt idx="3">
                  <c:v>Audio-opnamen: muziek</c:v>
                </c:pt>
                <c:pt idx="4">
                  <c:v>Film</c:v>
                </c:pt>
              </c:strCache>
            </c:strRef>
          </c:cat>
          <c:val>
            <c:numRef>
              <c:f>'18G'!$B$41:$F$41</c:f>
              <c:numCache>
                <c:formatCode>0</c:formatCode>
                <c:ptCount val="5"/>
                <c:pt idx="0">
                  <c:v>24.433035714285715</c:v>
                </c:pt>
                <c:pt idx="1">
                  <c:v>48</c:v>
                </c:pt>
                <c:pt idx="2">
                  <c:v>12.857142857142858</c:v>
                </c:pt>
                <c:pt idx="3">
                  <c:v>23.75</c:v>
                </c:pt>
                <c:pt idx="4">
                  <c:v>13.125</c:v>
                </c:pt>
              </c:numCache>
            </c:numRef>
          </c:val>
        </c:ser>
        <c:gapWidth val="75"/>
        <c:overlap val="100"/>
        <c:axId val="111240320"/>
        <c:axId val="111241856"/>
      </c:barChart>
      <c:catAx>
        <c:axId val="111240320"/>
        <c:scaling>
          <c:orientation val="minMax"/>
        </c:scaling>
        <c:axPos val="l"/>
        <c:majorTickMark val="none"/>
        <c:tickLblPos val="nextTo"/>
        <c:crossAx val="111241856"/>
        <c:crosses val="autoZero"/>
        <c:auto val="1"/>
        <c:lblAlgn val="ctr"/>
        <c:lblOffset val="100"/>
      </c:catAx>
      <c:valAx>
        <c:axId val="111241856"/>
        <c:scaling>
          <c:orientation val="minMax"/>
        </c:scaling>
        <c:axPos val="b"/>
        <c:majorGridlines/>
        <c:numFmt formatCode="0%" sourceLinked="1"/>
        <c:majorTickMark val="none"/>
        <c:tickLblPos val="nextTo"/>
        <c:spPr>
          <a:ln w="9525">
            <a:noFill/>
          </a:ln>
        </c:spPr>
        <c:crossAx val="111240320"/>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Motivatie</a:t>
            </a:r>
            <a:r>
              <a:rPr lang="nl-NL" baseline="0"/>
              <a:t> (uitgedrukt in rapportcijfer) om te digitaliseren (n=103)</a:t>
            </a:r>
            <a:endParaRPr lang="nl-NL"/>
          </a:p>
        </c:rich>
      </c:tx>
      <c:layout/>
    </c:title>
    <c:plotArea>
      <c:layout/>
      <c:barChart>
        <c:barDir val="bar"/>
        <c:grouping val="clustered"/>
        <c:ser>
          <c:idx val="0"/>
          <c:order val="0"/>
          <c:cat>
            <c:strRef>
              <c:f>'Q19'!$K$4:$K$11</c:f>
              <c:strCache>
                <c:ptCount val="8"/>
                <c:pt idx="0">
                  <c:v>Overig</c:v>
                </c:pt>
                <c:pt idx="1">
                  <c:v>Verkoop, commerciële licenties</c:v>
                </c:pt>
                <c:pt idx="2">
                  <c:v>Ideologisch/religieus/herdenkend</c:v>
                </c:pt>
                <c:pt idx="3">
                  <c:v>Creatief hergebruik</c:v>
                </c:pt>
                <c:pt idx="4">
                  <c:v>Onderwijs</c:v>
                </c:pt>
                <c:pt idx="5">
                  <c:v>Publieke belangstelling</c:v>
                </c:pt>
                <c:pt idx="6">
                  <c:v>Wetenschappelijk onderzoek</c:v>
                </c:pt>
                <c:pt idx="7">
                  <c:v>Terugdringen gebruik originelen</c:v>
                </c:pt>
              </c:strCache>
            </c:strRef>
          </c:cat>
          <c:val>
            <c:numRef>
              <c:f>'Q19'!$L$4:$L$11</c:f>
              <c:numCache>
                <c:formatCode>0</c:formatCode>
                <c:ptCount val="8"/>
                <c:pt idx="0">
                  <c:v>4</c:v>
                </c:pt>
                <c:pt idx="1">
                  <c:v>4</c:v>
                </c:pt>
                <c:pt idx="2">
                  <c:v>4</c:v>
                </c:pt>
                <c:pt idx="3">
                  <c:v>6</c:v>
                </c:pt>
                <c:pt idx="4">
                  <c:v>7</c:v>
                </c:pt>
                <c:pt idx="5">
                  <c:v>7</c:v>
                </c:pt>
                <c:pt idx="6">
                  <c:v>8</c:v>
                </c:pt>
                <c:pt idx="7">
                  <c:v>8</c:v>
                </c:pt>
              </c:numCache>
            </c:numRef>
          </c:val>
        </c:ser>
        <c:dLbls>
          <c:showVal val="1"/>
        </c:dLbls>
        <c:axId val="109898752"/>
        <c:axId val="110777088"/>
      </c:barChart>
      <c:catAx>
        <c:axId val="109898752"/>
        <c:scaling>
          <c:orientation val="minMax"/>
        </c:scaling>
        <c:axPos val="l"/>
        <c:numFmt formatCode="General" sourceLinked="1"/>
        <c:majorTickMark val="none"/>
        <c:tickLblPos val="nextTo"/>
        <c:crossAx val="110777088"/>
        <c:crosses val="autoZero"/>
        <c:auto val="1"/>
        <c:lblAlgn val="ctr"/>
        <c:lblOffset val="100"/>
      </c:catAx>
      <c:valAx>
        <c:axId val="110777088"/>
        <c:scaling>
          <c:orientation val="minMax"/>
        </c:scaling>
        <c:delete val="1"/>
        <c:axPos val="b"/>
        <c:numFmt formatCode="0" sourceLinked="1"/>
        <c:tickLblPos val="none"/>
        <c:crossAx val="109898752"/>
        <c:crosses val="autoZero"/>
        <c:crossBetween val="between"/>
      </c:valAx>
    </c:plotArea>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Motivatie per sector</a:t>
            </a:r>
            <a:r>
              <a:rPr lang="nl-NL" baseline="0"/>
              <a:t> om te digitaliseren</a:t>
            </a:r>
            <a:endParaRPr lang="nl-NL"/>
          </a:p>
        </c:rich>
      </c:tx>
    </c:title>
    <c:plotArea>
      <c:layout/>
      <c:barChart>
        <c:barDir val="bar"/>
        <c:grouping val="clustered"/>
        <c:ser>
          <c:idx val="0"/>
          <c:order val="0"/>
          <c:tx>
            <c:strRef>
              <c:f>'Q19'!$L$34</c:f>
              <c:strCache>
                <c:ptCount val="1"/>
                <c:pt idx="0">
                  <c:v>Archieven (n=30)</c:v>
                </c:pt>
              </c:strCache>
            </c:strRef>
          </c:tx>
          <c:cat>
            <c:strRef>
              <c:f>'Q19'!$K$35:$K$42</c:f>
              <c:strCache>
                <c:ptCount val="8"/>
                <c:pt idx="0">
                  <c:v>Overig</c:v>
                </c:pt>
                <c:pt idx="1">
                  <c:v>Verkoop, commerciële licenties</c:v>
                </c:pt>
                <c:pt idx="2">
                  <c:v>Ideologisch/religieus/herdenkend</c:v>
                </c:pt>
                <c:pt idx="3">
                  <c:v>Persoonlijke belangstelling</c:v>
                </c:pt>
                <c:pt idx="4">
                  <c:v>Creatief hergebruik</c:v>
                </c:pt>
                <c:pt idx="5">
                  <c:v>Onderwijs</c:v>
                </c:pt>
                <c:pt idx="6">
                  <c:v>Terugdringen gebruik originelen</c:v>
                </c:pt>
                <c:pt idx="7">
                  <c:v>Wetenschappelijk onderzoek</c:v>
                </c:pt>
              </c:strCache>
            </c:strRef>
          </c:cat>
          <c:val>
            <c:numRef>
              <c:f>'Q19'!$L$35:$L$42</c:f>
              <c:numCache>
                <c:formatCode>0</c:formatCode>
                <c:ptCount val="8"/>
                <c:pt idx="0">
                  <c:v>4</c:v>
                </c:pt>
                <c:pt idx="1">
                  <c:v>3</c:v>
                </c:pt>
                <c:pt idx="2">
                  <c:v>4</c:v>
                </c:pt>
                <c:pt idx="3">
                  <c:v>8</c:v>
                </c:pt>
                <c:pt idx="4">
                  <c:v>6</c:v>
                </c:pt>
                <c:pt idx="5">
                  <c:v>7</c:v>
                </c:pt>
                <c:pt idx="6">
                  <c:v>9</c:v>
                </c:pt>
                <c:pt idx="7">
                  <c:v>8</c:v>
                </c:pt>
              </c:numCache>
            </c:numRef>
          </c:val>
        </c:ser>
        <c:ser>
          <c:idx val="1"/>
          <c:order val="1"/>
          <c:tx>
            <c:strRef>
              <c:f>'Q19'!$M$34</c:f>
              <c:strCache>
                <c:ptCount val="1"/>
                <c:pt idx="0">
                  <c:v>Bibliotheken (n=7)</c:v>
                </c:pt>
              </c:strCache>
            </c:strRef>
          </c:tx>
          <c:cat>
            <c:strRef>
              <c:f>'Q19'!$K$35:$K$42</c:f>
              <c:strCache>
                <c:ptCount val="8"/>
                <c:pt idx="0">
                  <c:v>Overig</c:v>
                </c:pt>
                <c:pt idx="1">
                  <c:v>Verkoop, commerciële licenties</c:v>
                </c:pt>
                <c:pt idx="2">
                  <c:v>Ideologisch/religieus/herdenkend</c:v>
                </c:pt>
                <c:pt idx="3">
                  <c:v>Persoonlijke belangstelling</c:v>
                </c:pt>
                <c:pt idx="4">
                  <c:v>Creatief hergebruik</c:v>
                </c:pt>
                <c:pt idx="5">
                  <c:v>Onderwijs</c:v>
                </c:pt>
                <c:pt idx="6">
                  <c:v>Terugdringen gebruik originelen</c:v>
                </c:pt>
                <c:pt idx="7">
                  <c:v>Wetenschappelijk onderzoek</c:v>
                </c:pt>
              </c:strCache>
            </c:strRef>
          </c:cat>
          <c:val>
            <c:numRef>
              <c:f>'Q19'!$M$35:$M$42</c:f>
              <c:numCache>
                <c:formatCode>0</c:formatCode>
                <c:ptCount val="8"/>
                <c:pt idx="0">
                  <c:v>2</c:v>
                </c:pt>
                <c:pt idx="1">
                  <c:v>3</c:v>
                </c:pt>
                <c:pt idx="2">
                  <c:v>4</c:v>
                </c:pt>
                <c:pt idx="3">
                  <c:v>5</c:v>
                </c:pt>
                <c:pt idx="4">
                  <c:v>6</c:v>
                </c:pt>
                <c:pt idx="5">
                  <c:v>8</c:v>
                </c:pt>
                <c:pt idx="6">
                  <c:v>9</c:v>
                </c:pt>
                <c:pt idx="7">
                  <c:v>10</c:v>
                </c:pt>
              </c:numCache>
            </c:numRef>
          </c:val>
        </c:ser>
        <c:ser>
          <c:idx val="2"/>
          <c:order val="2"/>
          <c:tx>
            <c:strRef>
              <c:f>'Q19'!$N$34</c:f>
              <c:strCache>
                <c:ptCount val="1"/>
                <c:pt idx="0">
                  <c:v>Musea (n=61)</c:v>
                </c:pt>
              </c:strCache>
            </c:strRef>
          </c:tx>
          <c:cat>
            <c:strRef>
              <c:f>'Q19'!$K$35:$K$42</c:f>
              <c:strCache>
                <c:ptCount val="8"/>
                <c:pt idx="0">
                  <c:v>Overig</c:v>
                </c:pt>
                <c:pt idx="1">
                  <c:v>Verkoop, commerciële licenties</c:v>
                </c:pt>
                <c:pt idx="2">
                  <c:v>Ideologisch/religieus/herdenkend</c:v>
                </c:pt>
                <c:pt idx="3">
                  <c:v>Persoonlijke belangstelling</c:v>
                </c:pt>
                <c:pt idx="4">
                  <c:v>Creatief hergebruik</c:v>
                </c:pt>
                <c:pt idx="5">
                  <c:v>Onderwijs</c:v>
                </c:pt>
                <c:pt idx="6">
                  <c:v>Terugdringen gebruik originelen</c:v>
                </c:pt>
                <c:pt idx="7">
                  <c:v>Wetenschappelijk onderzoek</c:v>
                </c:pt>
              </c:strCache>
            </c:strRef>
          </c:cat>
          <c:val>
            <c:numRef>
              <c:f>'Q19'!$N$35:$N$42</c:f>
              <c:numCache>
                <c:formatCode>0</c:formatCode>
                <c:ptCount val="8"/>
                <c:pt idx="0">
                  <c:v>4</c:v>
                </c:pt>
                <c:pt idx="1">
                  <c:v>4</c:v>
                </c:pt>
                <c:pt idx="2">
                  <c:v>4</c:v>
                </c:pt>
                <c:pt idx="3">
                  <c:v>7</c:v>
                </c:pt>
                <c:pt idx="4">
                  <c:v>5</c:v>
                </c:pt>
                <c:pt idx="5">
                  <c:v>7</c:v>
                </c:pt>
                <c:pt idx="6">
                  <c:v>8</c:v>
                </c:pt>
                <c:pt idx="7">
                  <c:v>7</c:v>
                </c:pt>
              </c:numCache>
            </c:numRef>
          </c:val>
        </c:ser>
        <c:ser>
          <c:idx val="3"/>
          <c:order val="3"/>
          <c:tx>
            <c:strRef>
              <c:f>'Q19'!$O$34</c:f>
              <c:strCache>
                <c:ptCount val="1"/>
                <c:pt idx="0">
                  <c:v>Overig (n=5)</c:v>
                </c:pt>
              </c:strCache>
            </c:strRef>
          </c:tx>
          <c:cat>
            <c:strRef>
              <c:f>'Q19'!$K$35:$K$42</c:f>
              <c:strCache>
                <c:ptCount val="8"/>
                <c:pt idx="0">
                  <c:v>Overig</c:v>
                </c:pt>
                <c:pt idx="1">
                  <c:v>Verkoop, commerciële licenties</c:v>
                </c:pt>
                <c:pt idx="2">
                  <c:v>Ideologisch/religieus/herdenkend</c:v>
                </c:pt>
                <c:pt idx="3">
                  <c:v>Persoonlijke belangstelling</c:v>
                </c:pt>
                <c:pt idx="4">
                  <c:v>Creatief hergebruik</c:v>
                </c:pt>
                <c:pt idx="5">
                  <c:v>Onderwijs</c:v>
                </c:pt>
                <c:pt idx="6">
                  <c:v>Terugdringen gebruik originelen</c:v>
                </c:pt>
                <c:pt idx="7">
                  <c:v>Wetenschappelijk onderzoek</c:v>
                </c:pt>
              </c:strCache>
            </c:strRef>
          </c:cat>
          <c:val>
            <c:numRef>
              <c:f>'Q19'!$O$35:$O$42</c:f>
              <c:numCache>
                <c:formatCode>0</c:formatCode>
                <c:ptCount val="8"/>
                <c:pt idx="0">
                  <c:v>4</c:v>
                </c:pt>
                <c:pt idx="1">
                  <c:v>4</c:v>
                </c:pt>
                <c:pt idx="2">
                  <c:v>4</c:v>
                </c:pt>
                <c:pt idx="3">
                  <c:v>7</c:v>
                </c:pt>
                <c:pt idx="4">
                  <c:v>7</c:v>
                </c:pt>
                <c:pt idx="5">
                  <c:v>8</c:v>
                </c:pt>
                <c:pt idx="6">
                  <c:v>7</c:v>
                </c:pt>
                <c:pt idx="7">
                  <c:v>9</c:v>
                </c:pt>
              </c:numCache>
            </c:numRef>
          </c:val>
        </c:ser>
        <c:dLbls>
          <c:showVal val="1"/>
        </c:dLbls>
        <c:axId val="111284224"/>
        <c:axId val="111285760"/>
      </c:barChart>
      <c:catAx>
        <c:axId val="111284224"/>
        <c:scaling>
          <c:orientation val="minMax"/>
        </c:scaling>
        <c:axPos val="l"/>
        <c:majorTickMark val="none"/>
        <c:tickLblPos val="nextTo"/>
        <c:crossAx val="111285760"/>
        <c:crosses val="autoZero"/>
        <c:auto val="1"/>
        <c:lblAlgn val="ctr"/>
        <c:lblOffset val="100"/>
      </c:catAx>
      <c:valAx>
        <c:axId val="111285760"/>
        <c:scaling>
          <c:orientation val="minMax"/>
        </c:scaling>
        <c:delete val="1"/>
        <c:axPos val="b"/>
        <c:numFmt formatCode="0" sourceLinked="1"/>
        <c:tickLblPos val="none"/>
        <c:crossAx val="111284224"/>
        <c:crosses val="autoZero"/>
        <c:crossBetween val="between"/>
      </c:valAx>
    </c:plotArea>
    <c:legend>
      <c:legendPos val="t"/>
    </c:legend>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Beleidsdocument m.b.t.</a:t>
            </a:r>
            <a:r>
              <a:rPr lang="nl-NL" baseline="0"/>
              <a:t> gebruikscondities (n=103)</a:t>
            </a:r>
            <a:endParaRPr lang="nl-NL"/>
          </a:p>
        </c:rich>
      </c:tx>
      <c:layout/>
    </c:title>
    <c:plotArea>
      <c:layout/>
      <c:pieChart>
        <c:varyColors val="1"/>
        <c:ser>
          <c:idx val="0"/>
          <c:order val="0"/>
          <c:dLbls>
            <c:showPercent val="1"/>
            <c:showLeaderLines val="1"/>
          </c:dLbls>
          <c:cat>
            <c:strRef>
              <c:f>'Q20'!$D$5:$D$6</c:f>
              <c:strCache>
                <c:ptCount val="2"/>
                <c:pt idx="0">
                  <c:v>ja</c:v>
                </c:pt>
                <c:pt idx="1">
                  <c:v>nee</c:v>
                </c:pt>
              </c:strCache>
            </c:strRef>
          </c:cat>
          <c:val>
            <c:numRef>
              <c:f>'Q20'!$E$5:$E$6</c:f>
              <c:numCache>
                <c:formatCode>General</c:formatCode>
                <c:ptCount val="2"/>
                <c:pt idx="0">
                  <c:v>39</c:v>
                </c:pt>
                <c:pt idx="1">
                  <c:v>55</c:v>
                </c:pt>
              </c:numCache>
            </c:numRef>
          </c:val>
        </c:ser>
        <c:dLbls>
          <c:showPercent val="1"/>
        </c:dLbls>
        <c:firstSliceAng val="0"/>
      </c:pieChart>
    </c:plotArea>
    <c:legend>
      <c:legendPos val="t"/>
      <c:layout/>
    </c:legend>
    <c:plotVisOnly val="1"/>
    <c:dispBlanksAs val="zero"/>
  </c:chart>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Type respondenten naar budgetgrootte</a:t>
            </a:r>
            <a:endParaRPr lang="nl-NL" baseline="0"/>
          </a:p>
          <a:p>
            <a:pPr>
              <a:defRPr/>
            </a:pPr>
            <a:r>
              <a:rPr lang="nl-NL" baseline="0"/>
              <a:t>(n = 143)</a:t>
            </a:r>
            <a:endParaRPr lang="nl-NL"/>
          </a:p>
        </c:rich>
      </c:tx>
      <c:layout/>
    </c:title>
    <c:plotArea>
      <c:layout/>
      <c:barChart>
        <c:barDir val="col"/>
        <c:grouping val="percentStacked"/>
        <c:ser>
          <c:idx val="0"/>
          <c:order val="0"/>
          <c:tx>
            <c:strRef>
              <c:f>'Q9'!$K$3</c:f>
              <c:strCache>
                <c:ptCount val="1"/>
                <c:pt idx="0">
                  <c:v>Archiefinstelling</c:v>
                </c:pt>
              </c:strCache>
            </c:strRef>
          </c:tx>
          <c:cat>
            <c:strRef>
              <c:f>'Q9'!$J$4:$J$10</c:f>
              <c:strCache>
                <c:ptCount val="7"/>
                <c:pt idx="0">
                  <c:v>&lt; 10,000 €</c:v>
                </c:pt>
                <c:pt idx="1">
                  <c:v>10,000-50,000 €</c:v>
                </c:pt>
                <c:pt idx="2">
                  <c:v>50,000-100,000 €</c:v>
                </c:pt>
                <c:pt idx="3">
                  <c:v>100,000-500,000 €</c:v>
                </c:pt>
                <c:pt idx="4">
                  <c:v>500,000-1M €</c:v>
                </c:pt>
                <c:pt idx="5">
                  <c:v>1 - 10M €</c:v>
                </c:pt>
                <c:pt idx="6">
                  <c:v>&gt; 10M €</c:v>
                </c:pt>
              </c:strCache>
            </c:strRef>
          </c:cat>
          <c:val>
            <c:numRef>
              <c:f>'Q9'!$K$4:$K$10</c:f>
              <c:numCache>
                <c:formatCode>General</c:formatCode>
                <c:ptCount val="7"/>
                <c:pt idx="0">
                  <c:v>1</c:v>
                </c:pt>
                <c:pt idx="1">
                  <c:v>5</c:v>
                </c:pt>
                <c:pt idx="2">
                  <c:v>1</c:v>
                </c:pt>
                <c:pt idx="3">
                  <c:v>12</c:v>
                </c:pt>
                <c:pt idx="4">
                  <c:v>5</c:v>
                </c:pt>
                <c:pt idx="5">
                  <c:v>13</c:v>
                </c:pt>
                <c:pt idx="6">
                  <c:v>1</c:v>
                </c:pt>
              </c:numCache>
            </c:numRef>
          </c:val>
        </c:ser>
        <c:ser>
          <c:idx val="1"/>
          <c:order val="1"/>
          <c:tx>
            <c:strRef>
              <c:f>'Q9'!$L$3</c:f>
              <c:strCache>
                <c:ptCount val="1"/>
                <c:pt idx="0">
                  <c:v>Bibliotheek</c:v>
                </c:pt>
              </c:strCache>
            </c:strRef>
          </c:tx>
          <c:cat>
            <c:strRef>
              <c:f>'Q9'!$J$4:$J$10</c:f>
              <c:strCache>
                <c:ptCount val="7"/>
                <c:pt idx="0">
                  <c:v>&lt; 10,000 €</c:v>
                </c:pt>
                <c:pt idx="1">
                  <c:v>10,000-50,000 €</c:v>
                </c:pt>
                <c:pt idx="2">
                  <c:v>50,000-100,000 €</c:v>
                </c:pt>
                <c:pt idx="3">
                  <c:v>100,000-500,000 €</c:v>
                </c:pt>
                <c:pt idx="4">
                  <c:v>500,000-1M €</c:v>
                </c:pt>
                <c:pt idx="5">
                  <c:v>1 - 10M €</c:v>
                </c:pt>
                <c:pt idx="6">
                  <c:v>&gt; 10M €</c:v>
                </c:pt>
              </c:strCache>
            </c:strRef>
          </c:cat>
          <c:val>
            <c:numRef>
              <c:f>'Q9'!$L$4:$L$10</c:f>
              <c:numCache>
                <c:formatCode>General</c:formatCode>
                <c:ptCount val="7"/>
                <c:pt idx="0">
                  <c:v>0</c:v>
                </c:pt>
                <c:pt idx="1">
                  <c:v>1</c:v>
                </c:pt>
                <c:pt idx="2">
                  <c:v>2</c:v>
                </c:pt>
                <c:pt idx="3">
                  <c:v>1</c:v>
                </c:pt>
                <c:pt idx="4">
                  <c:v>0</c:v>
                </c:pt>
                <c:pt idx="5">
                  <c:v>6</c:v>
                </c:pt>
                <c:pt idx="6">
                  <c:v>0</c:v>
                </c:pt>
              </c:numCache>
            </c:numRef>
          </c:val>
        </c:ser>
        <c:ser>
          <c:idx val="2"/>
          <c:order val="2"/>
          <c:tx>
            <c:strRef>
              <c:f>'Q9'!$M$3</c:f>
              <c:strCache>
                <c:ptCount val="1"/>
                <c:pt idx="0">
                  <c:v>Museum</c:v>
                </c:pt>
              </c:strCache>
            </c:strRef>
          </c:tx>
          <c:cat>
            <c:strRef>
              <c:f>'Q9'!$J$4:$J$10</c:f>
              <c:strCache>
                <c:ptCount val="7"/>
                <c:pt idx="0">
                  <c:v>&lt; 10,000 €</c:v>
                </c:pt>
                <c:pt idx="1">
                  <c:v>10,000-50,000 €</c:v>
                </c:pt>
                <c:pt idx="2">
                  <c:v>50,000-100,000 €</c:v>
                </c:pt>
                <c:pt idx="3">
                  <c:v>100,000-500,000 €</c:v>
                </c:pt>
                <c:pt idx="4">
                  <c:v>500,000-1M €</c:v>
                </c:pt>
                <c:pt idx="5">
                  <c:v>1 - 10M €</c:v>
                </c:pt>
                <c:pt idx="6">
                  <c:v>&gt; 10M €</c:v>
                </c:pt>
              </c:strCache>
            </c:strRef>
          </c:cat>
          <c:val>
            <c:numRef>
              <c:f>'Q9'!$M$4:$M$10</c:f>
              <c:numCache>
                <c:formatCode>General</c:formatCode>
                <c:ptCount val="7"/>
                <c:pt idx="0">
                  <c:v>8</c:v>
                </c:pt>
                <c:pt idx="1">
                  <c:v>8</c:v>
                </c:pt>
                <c:pt idx="2">
                  <c:v>5</c:v>
                </c:pt>
                <c:pt idx="3">
                  <c:v>30</c:v>
                </c:pt>
                <c:pt idx="4">
                  <c:v>6</c:v>
                </c:pt>
                <c:pt idx="5">
                  <c:v>27</c:v>
                </c:pt>
                <c:pt idx="6">
                  <c:v>5</c:v>
                </c:pt>
              </c:numCache>
            </c:numRef>
          </c:val>
        </c:ser>
        <c:ser>
          <c:idx val="3"/>
          <c:order val="3"/>
          <c:tx>
            <c:strRef>
              <c:f>'Q9'!$N$3</c:f>
              <c:strCache>
                <c:ptCount val="1"/>
                <c:pt idx="0">
                  <c:v>Overig</c:v>
                </c:pt>
              </c:strCache>
            </c:strRef>
          </c:tx>
          <c:cat>
            <c:strRef>
              <c:f>'Q9'!$J$4:$J$10</c:f>
              <c:strCache>
                <c:ptCount val="7"/>
                <c:pt idx="0">
                  <c:v>&lt; 10,000 €</c:v>
                </c:pt>
                <c:pt idx="1">
                  <c:v>10,000-50,000 €</c:v>
                </c:pt>
                <c:pt idx="2">
                  <c:v>50,000-100,000 €</c:v>
                </c:pt>
                <c:pt idx="3">
                  <c:v>100,000-500,000 €</c:v>
                </c:pt>
                <c:pt idx="4">
                  <c:v>500,000-1M €</c:v>
                </c:pt>
                <c:pt idx="5">
                  <c:v>1 - 10M €</c:v>
                </c:pt>
                <c:pt idx="6">
                  <c:v>&gt; 10M €</c:v>
                </c:pt>
              </c:strCache>
            </c:strRef>
          </c:cat>
          <c:val>
            <c:numRef>
              <c:f>'Q9'!$N$4:$N$10</c:f>
              <c:numCache>
                <c:formatCode>General</c:formatCode>
                <c:ptCount val="7"/>
                <c:pt idx="0">
                  <c:v>0</c:v>
                </c:pt>
                <c:pt idx="1">
                  <c:v>0</c:v>
                </c:pt>
                <c:pt idx="2">
                  <c:v>0</c:v>
                </c:pt>
                <c:pt idx="3">
                  <c:v>2</c:v>
                </c:pt>
                <c:pt idx="4">
                  <c:v>0</c:v>
                </c:pt>
                <c:pt idx="5">
                  <c:v>2</c:v>
                </c:pt>
                <c:pt idx="6">
                  <c:v>2</c:v>
                </c:pt>
              </c:numCache>
            </c:numRef>
          </c:val>
        </c:ser>
        <c:gapWidth val="75"/>
        <c:overlap val="100"/>
        <c:axId val="108271872"/>
        <c:axId val="108294144"/>
      </c:barChart>
      <c:catAx>
        <c:axId val="108271872"/>
        <c:scaling>
          <c:orientation val="minMax"/>
        </c:scaling>
        <c:axPos val="b"/>
        <c:majorTickMark val="none"/>
        <c:tickLblPos val="nextTo"/>
        <c:crossAx val="108294144"/>
        <c:crosses val="autoZero"/>
        <c:auto val="1"/>
        <c:lblAlgn val="ctr"/>
        <c:lblOffset val="100"/>
      </c:catAx>
      <c:valAx>
        <c:axId val="108294144"/>
        <c:scaling>
          <c:orientation val="minMax"/>
        </c:scaling>
        <c:axPos val="l"/>
        <c:majorGridlines/>
        <c:numFmt formatCode="0%" sourceLinked="1"/>
        <c:majorTickMark val="none"/>
        <c:tickLblPos val="nextTo"/>
        <c:spPr>
          <a:ln w="9525">
            <a:noFill/>
          </a:ln>
        </c:spPr>
        <c:crossAx val="108271872"/>
        <c:crosses val="autoZero"/>
        <c:crossBetween val="between"/>
      </c:valAx>
    </c:plotArea>
    <c:legend>
      <c:legendPos val="b"/>
      <c:layout/>
    </c:legend>
    <c:plotVisOnly val="1"/>
    <c:dispBlanksAs val="gap"/>
  </c:chart>
  <c:printSettings>
    <c:headerFooter/>
    <c:pageMargins b="0.75000000000000244" l="0.70000000000000062" r="0.70000000000000062" t="0.750000000000002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Beleidsdocument</a:t>
            </a:r>
            <a:r>
              <a:rPr lang="nl-NL" baseline="0"/>
              <a:t> m.b.t. gebruikscondities per domein (n=103)</a:t>
            </a:r>
            <a:endParaRPr lang="nl-NL"/>
          </a:p>
        </c:rich>
      </c:tx>
      <c:layout/>
    </c:title>
    <c:plotArea>
      <c:layout/>
      <c:barChart>
        <c:barDir val="col"/>
        <c:grouping val="percentStacked"/>
        <c:ser>
          <c:idx val="0"/>
          <c:order val="0"/>
          <c:tx>
            <c:strRef>
              <c:f>'Q20'!$D$12</c:f>
              <c:strCache>
                <c:ptCount val="1"/>
                <c:pt idx="0">
                  <c:v>ja</c:v>
                </c:pt>
              </c:strCache>
            </c:strRef>
          </c:tx>
          <c:cat>
            <c:strRef>
              <c:f>'Q20'!$E$11:$H$11</c:f>
              <c:strCache>
                <c:ptCount val="4"/>
                <c:pt idx="0">
                  <c:v>archieven (n=30)</c:v>
                </c:pt>
                <c:pt idx="1">
                  <c:v>bibliotheken (n=7)</c:v>
                </c:pt>
                <c:pt idx="2">
                  <c:v>musea (n=61)</c:v>
                </c:pt>
                <c:pt idx="3">
                  <c:v>overig (n=5)</c:v>
                </c:pt>
              </c:strCache>
            </c:strRef>
          </c:cat>
          <c:val>
            <c:numRef>
              <c:f>'Q20'!$E$12:$H$12</c:f>
              <c:numCache>
                <c:formatCode>General</c:formatCode>
                <c:ptCount val="4"/>
                <c:pt idx="0">
                  <c:v>13</c:v>
                </c:pt>
                <c:pt idx="1">
                  <c:v>3</c:v>
                </c:pt>
                <c:pt idx="2">
                  <c:v>19</c:v>
                </c:pt>
                <c:pt idx="3">
                  <c:v>4</c:v>
                </c:pt>
              </c:numCache>
            </c:numRef>
          </c:val>
        </c:ser>
        <c:ser>
          <c:idx val="1"/>
          <c:order val="1"/>
          <c:tx>
            <c:strRef>
              <c:f>'Q20'!$D$13</c:f>
              <c:strCache>
                <c:ptCount val="1"/>
                <c:pt idx="0">
                  <c:v>nee</c:v>
                </c:pt>
              </c:strCache>
            </c:strRef>
          </c:tx>
          <c:cat>
            <c:strRef>
              <c:f>'Q20'!$E$11:$H$11</c:f>
              <c:strCache>
                <c:ptCount val="4"/>
                <c:pt idx="0">
                  <c:v>archieven (n=30)</c:v>
                </c:pt>
                <c:pt idx="1">
                  <c:v>bibliotheken (n=7)</c:v>
                </c:pt>
                <c:pt idx="2">
                  <c:v>musea (n=61)</c:v>
                </c:pt>
                <c:pt idx="3">
                  <c:v>overig (n=5)</c:v>
                </c:pt>
              </c:strCache>
            </c:strRef>
          </c:cat>
          <c:val>
            <c:numRef>
              <c:f>'Q20'!$E$13:$H$13</c:f>
              <c:numCache>
                <c:formatCode>General</c:formatCode>
                <c:ptCount val="4"/>
                <c:pt idx="0">
                  <c:v>16</c:v>
                </c:pt>
                <c:pt idx="1">
                  <c:v>3</c:v>
                </c:pt>
                <c:pt idx="2">
                  <c:v>35</c:v>
                </c:pt>
                <c:pt idx="3">
                  <c:v>1</c:v>
                </c:pt>
              </c:numCache>
            </c:numRef>
          </c:val>
        </c:ser>
        <c:gapWidth val="75"/>
        <c:overlap val="100"/>
        <c:axId val="111551232"/>
        <c:axId val="111552768"/>
      </c:barChart>
      <c:catAx>
        <c:axId val="111551232"/>
        <c:scaling>
          <c:orientation val="minMax"/>
        </c:scaling>
        <c:axPos val="b"/>
        <c:majorTickMark val="none"/>
        <c:tickLblPos val="nextTo"/>
        <c:crossAx val="111552768"/>
        <c:crosses val="autoZero"/>
        <c:auto val="1"/>
        <c:lblAlgn val="ctr"/>
        <c:lblOffset val="100"/>
      </c:catAx>
      <c:valAx>
        <c:axId val="111552768"/>
        <c:scaling>
          <c:orientation val="minMax"/>
        </c:scaling>
        <c:axPos val="l"/>
        <c:majorGridlines/>
        <c:numFmt formatCode="0%" sourceLinked="1"/>
        <c:majorTickMark val="none"/>
        <c:tickLblPos val="nextTo"/>
        <c:spPr>
          <a:ln w="9525">
            <a:noFill/>
          </a:ln>
        </c:spPr>
        <c:crossAx val="111551232"/>
        <c:crosses val="autoZero"/>
        <c:crossBetween val="between"/>
      </c:valAx>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Meet u</a:t>
            </a:r>
            <a:r>
              <a:rPr lang="nl-NL" baseline="0"/>
              <a:t> het gebruik van uw digitale diensten? (n=103)</a:t>
            </a:r>
            <a:endParaRPr lang="nl-NL"/>
          </a:p>
        </c:rich>
      </c:tx>
      <c:layout/>
    </c:title>
    <c:plotArea>
      <c:layout/>
      <c:pieChart>
        <c:varyColors val="1"/>
        <c:ser>
          <c:idx val="0"/>
          <c:order val="0"/>
          <c:dLbls>
            <c:showPercent val="1"/>
            <c:showLeaderLines val="1"/>
          </c:dLbls>
          <c:cat>
            <c:strRef>
              <c:f>'Q21'!$E$5:$E$6</c:f>
              <c:strCache>
                <c:ptCount val="2"/>
                <c:pt idx="0">
                  <c:v>ja</c:v>
                </c:pt>
                <c:pt idx="1">
                  <c:v>nee</c:v>
                </c:pt>
              </c:strCache>
            </c:strRef>
          </c:cat>
          <c:val>
            <c:numRef>
              <c:f>'Q21'!$F$5:$F$6</c:f>
              <c:numCache>
                <c:formatCode>General</c:formatCode>
                <c:ptCount val="2"/>
                <c:pt idx="0">
                  <c:v>55</c:v>
                </c:pt>
                <c:pt idx="1">
                  <c:v>44</c:v>
                </c:pt>
              </c:numCache>
            </c:numRef>
          </c:val>
        </c:ser>
        <c:dLbls>
          <c:showPercent val="1"/>
        </c:dLbls>
        <c:firstSliceAng val="0"/>
      </c:pieChart>
    </c:plotArea>
    <c:legend>
      <c:legendPos val="t"/>
      <c:layout/>
    </c:legend>
    <c:plotVisOnly val="1"/>
    <c:dispBlanksAs val="zero"/>
  </c:chart>
  <c:printSettings>
    <c:headerFooter/>
    <c:pageMargins b="0.75000000000000189" l="0.70000000000000062" r="0.70000000000000062" t="0.75000000000000189"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Meet</a:t>
            </a:r>
            <a:r>
              <a:rPr lang="nl-NL" baseline="0"/>
              <a:t> u het gebruik van uw digitale diensten (per domein) (n=103)</a:t>
            </a:r>
            <a:endParaRPr lang="nl-NL"/>
          </a:p>
        </c:rich>
      </c:tx>
      <c:layout/>
    </c:title>
    <c:plotArea>
      <c:layout/>
      <c:barChart>
        <c:barDir val="col"/>
        <c:grouping val="percentStacked"/>
        <c:ser>
          <c:idx val="0"/>
          <c:order val="0"/>
          <c:tx>
            <c:strRef>
              <c:f>'Q21'!$E$12</c:f>
              <c:strCache>
                <c:ptCount val="1"/>
                <c:pt idx="0">
                  <c:v>ja</c:v>
                </c:pt>
              </c:strCache>
            </c:strRef>
          </c:tx>
          <c:cat>
            <c:strRef>
              <c:f>'Q21'!$F$11:$I$11</c:f>
              <c:strCache>
                <c:ptCount val="4"/>
                <c:pt idx="0">
                  <c:v>archieven (n=30)</c:v>
                </c:pt>
                <c:pt idx="1">
                  <c:v>bibliotheken (n=7)</c:v>
                </c:pt>
                <c:pt idx="2">
                  <c:v>musea (n=61)</c:v>
                </c:pt>
                <c:pt idx="3">
                  <c:v>overig (n=5)</c:v>
                </c:pt>
              </c:strCache>
            </c:strRef>
          </c:cat>
          <c:val>
            <c:numRef>
              <c:f>'Q21'!$F$12:$I$12</c:f>
              <c:numCache>
                <c:formatCode>General</c:formatCode>
                <c:ptCount val="4"/>
                <c:pt idx="0">
                  <c:v>23</c:v>
                </c:pt>
                <c:pt idx="1">
                  <c:v>3</c:v>
                </c:pt>
                <c:pt idx="2">
                  <c:v>25</c:v>
                </c:pt>
                <c:pt idx="3">
                  <c:v>3</c:v>
                </c:pt>
              </c:numCache>
            </c:numRef>
          </c:val>
        </c:ser>
        <c:ser>
          <c:idx val="1"/>
          <c:order val="1"/>
          <c:tx>
            <c:strRef>
              <c:f>'Q21'!$E$13</c:f>
              <c:strCache>
                <c:ptCount val="1"/>
                <c:pt idx="0">
                  <c:v>nee</c:v>
                </c:pt>
              </c:strCache>
            </c:strRef>
          </c:tx>
          <c:cat>
            <c:strRef>
              <c:f>'Q21'!$F$11:$I$11</c:f>
              <c:strCache>
                <c:ptCount val="4"/>
                <c:pt idx="0">
                  <c:v>archieven (n=30)</c:v>
                </c:pt>
                <c:pt idx="1">
                  <c:v>bibliotheken (n=7)</c:v>
                </c:pt>
                <c:pt idx="2">
                  <c:v>musea (n=61)</c:v>
                </c:pt>
                <c:pt idx="3">
                  <c:v>overig (n=5)</c:v>
                </c:pt>
              </c:strCache>
            </c:strRef>
          </c:cat>
          <c:val>
            <c:numRef>
              <c:f>'Q21'!$F$13:$I$13</c:f>
              <c:numCache>
                <c:formatCode>General</c:formatCode>
                <c:ptCount val="4"/>
                <c:pt idx="0">
                  <c:v>6</c:v>
                </c:pt>
                <c:pt idx="1">
                  <c:v>4</c:v>
                </c:pt>
                <c:pt idx="2">
                  <c:v>34</c:v>
                </c:pt>
                <c:pt idx="3">
                  <c:v>1</c:v>
                </c:pt>
              </c:numCache>
            </c:numRef>
          </c:val>
        </c:ser>
        <c:gapWidth val="75"/>
        <c:overlap val="100"/>
        <c:axId val="111527424"/>
        <c:axId val="111528960"/>
      </c:barChart>
      <c:catAx>
        <c:axId val="111527424"/>
        <c:scaling>
          <c:orientation val="minMax"/>
        </c:scaling>
        <c:axPos val="b"/>
        <c:majorTickMark val="none"/>
        <c:tickLblPos val="nextTo"/>
        <c:crossAx val="111528960"/>
        <c:crosses val="autoZero"/>
        <c:auto val="1"/>
        <c:lblAlgn val="ctr"/>
        <c:lblOffset val="100"/>
      </c:catAx>
      <c:valAx>
        <c:axId val="111528960"/>
        <c:scaling>
          <c:orientation val="minMax"/>
        </c:scaling>
        <c:axPos val="l"/>
        <c:majorGridlines/>
        <c:numFmt formatCode="0%" sourceLinked="1"/>
        <c:majorTickMark val="none"/>
        <c:tickLblPos val="nextTo"/>
        <c:spPr>
          <a:ln w="9525">
            <a:noFill/>
          </a:ln>
        </c:spPr>
        <c:crossAx val="111527424"/>
        <c:crosses val="autoZero"/>
        <c:crossBetween val="between"/>
      </c:valAx>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Hoe wordt</a:t>
            </a:r>
            <a:r>
              <a:rPr lang="nl-NL" baseline="0"/>
              <a:t> gebruik van digitale diensten gemeten? (n=55)</a:t>
            </a:r>
            <a:endParaRPr lang="nl-NL"/>
          </a:p>
        </c:rich>
      </c:tx>
      <c:layout/>
    </c:title>
    <c:plotArea>
      <c:layout/>
      <c:barChart>
        <c:barDir val="bar"/>
        <c:grouping val="percentStacked"/>
        <c:ser>
          <c:idx val="0"/>
          <c:order val="0"/>
          <c:tx>
            <c:strRef>
              <c:f>'Q22'!$I$4</c:f>
              <c:strCache>
                <c:ptCount val="1"/>
                <c:pt idx="0">
                  <c:v>ja</c:v>
                </c:pt>
              </c:strCache>
            </c:strRef>
          </c:tx>
          <c:cat>
            <c:strRef>
              <c:f>'Q22'!$H$5:$H$8</c:f>
              <c:strCache>
                <c:ptCount val="4"/>
                <c:pt idx="0">
                  <c:v>Databasestatistieken</c:v>
                </c:pt>
                <c:pt idx="1">
                  <c:v>Gebruikersonderzoek</c:v>
                </c:pt>
                <c:pt idx="2">
                  <c:v>Sociale media gebruik</c:v>
                </c:pt>
                <c:pt idx="3">
                  <c:v>Webstatistieken</c:v>
                </c:pt>
              </c:strCache>
            </c:strRef>
          </c:cat>
          <c:val>
            <c:numRef>
              <c:f>'Q22'!$I$5:$I$8</c:f>
              <c:numCache>
                <c:formatCode>General</c:formatCode>
                <c:ptCount val="4"/>
                <c:pt idx="0">
                  <c:v>16</c:v>
                </c:pt>
                <c:pt idx="1">
                  <c:v>22</c:v>
                </c:pt>
                <c:pt idx="2">
                  <c:v>27</c:v>
                </c:pt>
                <c:pt idx="3">
                  <c:v>54</c:v>
                </c:pt>
              </c:numCache>
            </c:numRef>
          </c:val>
        </c:ser>
        <c:ser>
          <c:idx val="1"/>
          <c:order val="1"/>
          <c:tx>
            <c:strRef>
              <c:f>'Q22'!$J$4</c:f>
              <c:strCache>
                <c:ptCount val="1"/>
                <c:pt idx="0">
                  <c:v>nee</c:v>
                </c:pt>
              </c:strCache>
            </c:strRef>
          </c:tx>
          <c:cat>
            <c:strRef>
              <c:f>'Q22'!$H$5:$H$8</c:f>
              <c:strCache>
                <c:ptCount val="4"/>
                <c:pt idx="0">
                  <c:v>Databasestatistieken</c:v>
                </c:pt>
                <c:pt idx="1">
                  <c:v>Gebruikersonderzoek</c:v>
                </c:pt>
                <c:pt idx="2">
                  <c:v>Sociale media gebruik</c:v>
                </c:pt>
                <c:pt idx="3">
                  <c:v>Webstatistieken</c:v>
                </c:pt>
              </c:strCache>
            </c:strRef>
          </c:cat>
          <c:val>
            <c:numRef>
              <c:f>'Q22'!$J$5:$J$8</c:f>
              <c:numCache>
                <c:formatCode>General</c:formatCode>
                <c:ptCount val="4"/>
                <c:pt idx="0">
                  <c:v>39</c:v>
                </c:pt>
                <c:pt idx="1">
                  <c:v>34</c:v>
                </c:pt>
                <c:pt idx="2">
                  <c:v>28</c:v>
                </c:pt>
                <c:pt idx="3">
                  <c:v>1</c:v>
                </c:pt>
              </c:numCache>
            </c:numRef>
          </c:val>
        </c:ser>
        <c:gapWidth val="75"/>
        <c:overlap val="100"/>
        <c:axId val="111636480"/>
        <c:axId val="111638016"/>
      </c:barChart>
      <c:catAx>
        <c:axId val="111636480"/>
        <c:scaling>
          <c:orientation val="minMax"/>
        </c:scaling>
        <c:axPos val="l"/>
        <c:majorTickMark val="none"/>
        <c:tickLblPos val="nextTo"/>
        <c:crossAx val="111638016"/>
        <c:crosses val="autoZero"/>
        <c:auto val="1"/>
        <c:lblAlgn val="ctr"/>
        <c:lblOffset val="100"/>
      </c:catAx>
      <c:valAx>
        <c:axId val="111638016"/>
        <c:scaling>
          <c:orientation val="minMax"/>
        </c:scaling>
        <c:axPos val="b"/>
        <c:majorGridlines/>
        <c:numFmt formatCode="0%" sourceLinked="1"/>
        <c:majorTickMark val="none"/>
        <c:tickLblPos val="nextTo"/>
        <c:spPr>
          <a:ln w="9525">
            <a:noFill/>
          </a:ln>
        </c:spPr>
        <c:crossAx val="111636480"/>
        <c:crosses val="autoZero"/>
        <c:crossBetween val="between"/>
      </c:valAx>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Toegankelijkheid</a:t>
            </a:r>
            <a:r>
              <a:rPr lang="nl-NL" baseline="0"/>
              <a:t> d</a:t>
            </a:r>
            <a:r>
              <a:rPr lang="nl-NL"/>
              <a:t>igitale collectie </a:t>
            </a:r>
          </a:p>
          <a:p>
            <a:pPr>
              <a:defRPr/>
            </a:pPr>
            <a:r>
              <a:rPr lang="nl-NL"/>
              <a:t>via diverse</a:t>
            </a:r>
            <a:r>
              <a:rPr lang="nl-NL" baseline="0"/>
              <a:t> kanalen (n=90)</a:t>
            </a:r>
            <a:endParaRPr lang="nl-NL"/>
          </a:p>
        </c:rich>
      </c:tx>
      <c:layout/>
    </c:title>
    <c:plotArea>
      <c:layout/>
      <c:barChart>
        <c:barDir val="col"/>
        <c:grouping val="clustered"/>
        <c:ser>
          <c:idx val="0"/>
          <c:order val="0"/>
          <c:tx>
            <c:strRef>
              <c:f>'Q23'!$N$5</c:f>
              <c:strCache>
                <c:ptCount val="1"/>
                <c:pt idx="0">
                  <c:v>nu</c:v>
                </c:pt>
              </c:strCache>
            </c:strRef>
          </c:tx>
          <c:cat>
            <c:strRef>
              <c:f>'Q23'!$M$6:$M$15</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'Q23'!$N$6:$N$15</c:f>
              <c:numCache>
                <c:formatCode>0%</c:formatCode>
                <c:ptCount val="10"/>
                <c:pt idx="0">
                  <c:v>0.46</c:v>
                </c:pt>
                <c:pt idx="1">
                  <c:v>0.34</c:v>
                </c:pt>
                <c:pt idx="2">
                  <c:v>0.14000000000000001</c:v>
                </c:pt>
                <c:pt idx="3">
                  <c:v>0.1</c:v>
                </c:pt>
                <c:pt idx="4">
                  <c:v>0.03</c:v>
                </c:pt>
                <c:pt idx="5">
                  <c:v>0.01</c:v>
                </c:pt>
                <c:pt idx="6">
                  <c:v>0.03</c:v>
                </c:pt>
                <c:pt idx="7">
                  <c:v>0.08</c:v>
                </c:pt>
                <c:pt idx="8">
                  <c:v>0.05</c:v>
                </c:pt>
                <c:pt idx="9">
                  <c:v>0.04</c:v>
                </c:pt>
              </c:numCache>
            </c:numRef>
          </c:val>
        </c:ser>
        <c:ser>
          <c:idx val="1"/>
          <c:order val="1"/>
          <c:tx>
            <c:strRef>
              <c:f>'Q23'!$O$5</c:f>
              <c:strCache>
                <c:ptCount val="1"/>
                <c:pt idx="0">
                  <c:v>over 2 jaar</c:v>
                </c:pt>
              </c:strCache>
            </c:strRef>
          </c:tx>
          <c:cat>
            <c:strRef>
              <c:f>'Q23'!$M$6:$M$15</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'Q23'!$O$6:$O$15</c:f>
              <c:numCache>
                <c:formatCode>0%</c:formatCode>
                <c:ptCount val="10"/>
                <c:pt idx="0">
                  <c:v>0.44</c:v>
                </c:pt>
                <c:pt idx="1">
                  <c:v>0.44</c:v>
                </c:pt>
                <c:pt idx="2">
                  <c:v>0.21</c:v>
                </c:pt>
                <c:pt idx="3">
                  <c:v>0.18</c:v>
                </c:pt>
                <c:pt idx="4">
                  <c:v>7.0000000000000007E-2</c:v>
                </c:pt>
                <c:pt idx="5">
                  <c:v>0.04</c:v>
                </c:pt>
                <c:pt idx="6">
                  <c:v>7.0000000000000007E-2</c:v>
                </c:pt>
                <c:pt idx="7">
                  <c:v>0.12</c:v>
                </c:pt>
                <c:pt idx="8">
                  <c:v>0.06</c:v>
                </c:pt>
                <c:pt idx="9">
                  <c:v>0.04</c:v>
                </c:pt>
              </c:numCache>
            </c:numRef>
          </c:val>
        </c:ser>
        <c:gapWidth val="75"/>
        <c:overlap val="-25"/>
        <c:axId val="111798528"/>
        <c:axId val="111685632"/>
      </c:barChart>
      <c:catAx>
        <c:axId val="111798528"/>
        <c:scaling>
          <c:orientation val="minMax"/>
        </c:scaling>
        <c:axPos val="b"/>
        <c:majorTickMark val="none"/>
        <c:tickLblPos val="nextTo"/>
        <c:crossAx val="111685632"/>
        <c:crosses val="autoZero"/>
        <c:auto val="1"/>
        <c:lblAlgn val="ctr"/>
        <c:lblOffset val="100"/>
      </c:catAx>
      <c:valAx>
        <c:axId val="111685632"/>
        <c:scaling>
          <c:orientation val="minMax"/>
        </c:scaling>
        <c:axPos val="l"/>
        <c:majorGridlines/>
        <c:numFmt formatCode="0%" sourceLinked="1"/>
        <c:majorTickMark val="none"/>
        <c:tickLblPos val="nextTo"/>
        <c:spPr>
          <a:ln w="9525">
            <a:noFill/>
          </a:ln>
        </c:spPr>
        <c:crossAx val="111798528"/>
        <c:crosses val="autoZero"/>
        <c:crossBetween val="between"/>
      </c:valAx>
    </c:plotArea>
    <c:legend>
      <c:legendPos val="b"/>
      <c:layout/>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Toegankelijkheid digitale collectie van archieven via diverse kanalen (n=26)</a:t>
            </a:r>
          </a:p>
        </c:rich>
      </c:tx>
    </c:title>
    <c:plotArea>
      <c:layout/>
      <c:barChart>
        <c:barDir val="col"/>
        <c:grouping val="clustered"/>
        <c:ser>
          <c:idx val="0"/>
          <c:order val="0"/>
          <c:tx>
            <c:strRef>
              <c:f>'Q23'!$N$206</c:f>
              <c:strCache>
                <c:ptCount val="1"/>
                <c:pt idx="0">
                  <c:v>nu</c:v>
                </c:pt>
              </c:strCache>
            </c:strRef>
          </c:tx>
          <c:cat>
            <c:strRef>
              <c:f>'Q23'!$M$207:$M$216</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'Q23'!$N$207:$N$216</c:f>
              <c:numCache>
                <c:formatCode>0%</c:formatCode>
                <c:ptCount val="10"/>
                <c:pt idx="0">
                  <c:v>0.32</c:v>
                </c:pt>
                <c:pt idx="1">
                  <c:v>0.3</c:v>
                </c:pt>
                <c:pt idx="2">
                  <c:v>0.18</c:v>
                </c:pt>
                <c:pt idx="3">
                  <c:v>0.14000000000000001</c:v>
                </c:pt>
                <c:pt idx="4">
                  <c:v>0</c:v>
                </c:pt>
                <c:pt idx="5">
                  <c:v>0</c:v>
                </c:pt>
                <c:pt idx="6">
                  <c:v>0</c:v>
                </c:pt>
                <c:pt idx="7">
                  <c:v>0.01</c:v>
                </c:pt>
                <c:pt idx="8">
                  <c:v>0.06</c:v>
                </c:pt>
                <c:pt idx="9">
                  <c:v>0.03</c:v>
                </c:pt>
              </c:numCache>
            </c:numRef>
          </c:val>
        </c:ser>
        <c:ser>
          <c:idx val="1"/>
          <c:order val="1"/>
          <c:tx>
            <c:strRef>
              <c:f>'Q23'!$O$206</c:f>
              <c:strCache>
                <c:ptCount val="1"/>
                <c:pt idx="0">
                  <c:v>over 2 jaar</c:v>
                </c:pt>
              </c:strCache>
            </c:strRef>
          </c:tx>
          <c:cat>
            <c:strRef>
              <c:f>'Q23'!$M$207:$M$216</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'Q23'!$O$207:$O$216</c:f>
              <c:numCache>
                <c:formatCode>0%</c:formatCode>
                <c:ptCount val="10"/>
                <c:pt idx="0">
                  <c:v>0.26</c:v>
                </c:pt>
                <c:pt idx="1">
                  <c:v>0.4</c:v>
                </c:pt>
                <c:pt idx="2">
                  <c:v>0.21</c:v>
                </c:pt>
                <c:pt idx="3">
                  <c:v>0.18</c:v>
                </c:pt>
                <c:pt idx="4">
                  <c:v>0.04</c:v>
                </c:pt>
                <c:pt idx="5">
                  <c:v>0.01</c:v>
                </c:pt>
                <c:pt idx="6">
                  <c:v>0.06</c:v>
                </c:pt>
                <c:pt idx="7">
                  <c:v>0.06</c:v>
                </c:pt>
                <c:pt idx="8">
                  <c:v>7.0000000000000007E-2</c:v>
                </c:pt>
                <c:pt idx="9">
                  <c:v>0.04</c:v>
                </c:pt>
              </c:numCache>
            </c:numRef>
          </c:val>
        </c:ser>
        <c:gapWidth val="75"/>
        <c:overlap val="-25"/>
        <c:axId val="111702400"/>
        <c:axId val="111703936"/>
      </c:barChart>
      <c:catAx>
        <c:axId val="111702400"/>
        <c:scaling>
          <c:orientation val="minMax"/>
        </c:scaling>
        <c:axPos val="b"/>
        <c:majorTickMark val="none"/>
        <c:tickLblPos val="nextTo"/>
        <c:crossAx val="111703936"/>
        <c:crosses val="autoZero"/>
        <c:auto val="1"/>
        <c:lblAlgn val="ctr"/>
        <c:lblOffset val="100"/>
      </c:catAx>
      <c:valAx>
        <c:axId val="111703936"/>
        <c:scaling>
          <c:orientation val="minMax"/>
        </c:scaling>
        <c:axPos val="l"/>
        <c:majorGridlines/>
        <c:numFmt formatCode="0%" sourceLinked="1"/>
        <c:majorTickMark val="none"/>
        <c:tickLblPos val="nextTo"/>
        <c:spPr>
          <a:ln w="9525">
            <a:noFill/>
          </a:ln>
        </c:spPr>
        <c:crossAx val="111702400"/>
        <c:crosses val="autoZero"/>
        <c:crossBetween val="between"/>
      </c:valAx>
    </c:plotArea>
    <c:legend>
      <c:legendPos val="b"/>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Toegankelijkheid digitale collectie van bibliotheken via diverse kanalen (n=7)</a:t>
            </a:r>
            <a:endParaRPr lang="nl-NL"/>
          </a:p>
        </c:rich>
      </c:tx>
    </c:title>
    <c:plotArea>
      <c:layout/>
      <c:barChart>
        <c:barDir val="col"/>
        <c:grouping val="clustered"/>
        <c:ser>
          <c:idx val="0"/>
          <c:order val="0"/>
          <c:tx>
            <c:strRef>
              <c:f>'Q23'!$N$220</c:f>
              <c:strCache>
                <c:ptCount val="1"/>
                <c:pt idx="0">
                  <c:v>nu</c:v>
                </c:pt>
              </c:strCache>
            </c:strRef>
          </c:tx>
          <c:cat>
            <c:strRef>
              <c:f>'Q23'!$M$221:$M$230</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'Q23'!$N$221:$N$230</c:f>
              <c:numCache>
                <c:formatCode>0%</c:formatCode>
                <c:ptCount val="10"/>
                <c:pt idx="0">
                  <c:v>0.43</c:v>
                </c:pt>
                <c:pt idx="1">
                  <c:v>0.6</c:v>
                </c:pt>
                <c:pt idx="2">
                  <c:v>0.02</c:v>
                </c:pt>
                <c:pt idx="3">
                  <c:v>0.09</c:v>
                </c:pt>
                <c:pt idx="4">
                  <c:v>0.01</c:v>
                </c:pt>
                <c:pt idx="5">
                  <c:v>0</c:v>
                </c:pt>
                <c:pt idx="6">
                  <c:v>0</c:v>
                </c:pt>
                <c:pt idx="7">
                  <c:v>0.09</c:v>
                </c:pt>
                <c:pt idx="8">
                  <c:v>0.09</c:v>
                </c:pt>
                <c:pt idx="9">
                  <c:v>0.14000000000000001</c:v>
                </c:pt>
              </c:numCache>
            </c:numRef>
          </c:val>
        </c:ser>
        <c:ser>
          <c:idx val="1"/>
          <c:order val="1"/>
          <c:tx>
            <c:strRef>
              <c:f>'Q23'!$O$220</c:f>
              <c:strCache>
                <c:ptCount val="1"/>
                <c:pt idx="0">
                  <c:v>over 2 jaar</c:v>
                </c:pt>
              </c:strCache>
            </c:strRef>
          </c:tx>
          <c:cat>
            <c:strRef>
              <c:f>'Q23'!$M$221:$M$230</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'Q23'!$O$221:$O$230</c:f>
              <c:numCache>
                <c:formatCode>0%</c:formatCode>
                <c:ptCount val="10"/>
                <c:pt idx="0">
                  <c:v>0.43</c:v>
                </c:pt>
                <c:pt idx="1">
                  <c:v>0.73</c:v>
                </c:pt>
                <c:pt idx="2">
                  <c:v>0.14000000000000001</c:v>
                </c:pt>
                <c:pt idx="3">
                  <c:v>0.17</c:v>
                </c:pt>
                <c:pt idx="4">
                  <c:v>0.03</c:v>
                </c:pt>
                <c:pt idx="5">
                  <c:v>0.02</c:v>
                </c:pt>
                <c:pt idx="6">
                  <c:v>0</c:v>
                </c:pt>
                <c:pt idx="7">
                  <c:v>0.1</c:v>
                </c:pt>
                <c:pt idx="8">
                  <c:v>0.09</c:v>
                </c:pt>
                <c:pt idx="9">
                  <c:v>0.14000000000000001</c:v>
                </c:pt>
              </c:numCache>
            </c:numRef>
          </c:val>
        </c:ser>
        <c:gapWidth val="75"/>
        <c:overlap val="-25"/>
        <c:axId val="111732992"/>
        <c:axId val="111812608"/>
      </c:barChart>
      <c:catAx>
        <c:axId val="111732992"/>
        <c:scaling>
          <c:orientation val="minMax"/>
        </c:scaling>
        <c:axPos val="b"/>
        <c:majorTickMark val="none"/>
        <c:tickLblPos val="nextTo"/>
        <c:crossAx val="111812608"/>
        <c:crosses val="autoZero"/>
        <c:auto val="1"/>
        <c:lblAlgn val="ctr"/>
        <c:lblOffset val="100"/>
      </c:catAx>
      <c:valAx>
        <c:axId val="111812608"/>
        <c:scaling>
          <c:orientation val="minMax"/>
        </c:scaling>
        <c:axPos val="l"/>
        <c:majorGridlines/>
        <c:numFmt formatCode="0%" sourceLinked="1"/>
        <c:majorTickMark val="none"/>
        <c:tickLblPos val="nextTo"/>
        <c:spPr>
          <a:ln w="9525">
            <a:noFill/>
          </a:ln>
        </c:spPr>
        <c:crossAx val="111732992"/>
        <c:crosses val="autoZero"/>
        <c:crossBetween val="between"/>
      </c:valAx>
    </c:plotArea>
    <c:legend>
      <c:legendPos val="b"/>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nl-NL"/>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nl-NL" sz="1800" b="1" i="0" baseline="0"/>
              <a:t>Toegankelijkheid digitale collectie van musea via diverse kanalen (n=53)</a:t>
            </a:r>
            <a:endParaRPr lang="nl-NL"/>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nl-NL"/>
          </a:p>
        </c:rich>
      </c:tx>
    </c:title>
    <c:plotArea>
      <c:layout/>
      <c:barChart>
        <c:barDir val="col"/>
        <c:grouping val="clustered"/>
        <c:ser>
          <c:idx val="0"/>
          <c:order val="0"/>
          <c:tx>
            <c:strRef>
              <c:f>'Q23'!$N$234</c:f>
              <c:strCache>
                <c:ptCount val="1"/>
                <c:pt idx="0">
                  <c:v>nu</c:v>
                </c:pt>
              </c:strCache>
            </c:strRef>
          </c:tx>
          <c:cat>
            <c:strRef>
              <c:f>'Q23'!$M$235:$M$244</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'Q23'!$N$235:$N$244</c:f>
              <c:numCache>
                <c:formatCode>0%</c:formatCode>
                <c:ptCount val="10"/>
                <c:pt idx="0">
                  <c:v>0.53</c:v>
                </c:pt>
                <c:pt idx="1">
                  <c:v>0.34</c:v>
                </c:pt>
                <c:pt idx="2">
                  <c:v>0.13</c:v>
                </c:pt>
                <c:pt idx="3">
                  <c:v>0.08</c:v>
                </c:pt>
                <c:pt idx="4">
                  <c:v>0.05</c:v>
                </c:pt>
                <c:pt idx="5">
                  <c:v>0.01</c:v>
                </c:pt>
                <c:pt idx="6">
                  <c:v>0.05</c:v>
                </c:pt>
                <c:pt idx="7">
                  <c:v>0.08</c:v>
                </c:pt>
                <c:pt idx="8">
                  <c:v>0.05</c:v>
                </c:pt>
                <c:pt idx="9">
                  <c:v>0.03</c:v>
                </c:pt>
              </c:numCache>
            </c:numRef>
          </c:val>
        </c:ser>
        <c:ser>
          <c:idx val="1"/>
          <c:order val="1"/>
          <c:tx>
            <c:strRef>
              <c:f>'Q23'!$O$234</c:f>
              <c:strCache>
                <c:ptCount val="1"/>
                <c:pt idx="0">
                  <c:v>over 2 jaar</c:v>
                </c:pt>
              </c:strCache>
            </c:strRef>
          </c:tx>
          <c:cat>
            <c:strRef>
              <c:f>'Q23'!$M$235:$M$244</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'Q23'!$O$235:$O$244</c:f>
              <c:numCache>
                <c:formatCode>0%</c:formatCode>
                <c:ptCount val="10"/>
                <c:pt idx="0">
                  <c:v>0.52</c:v>
                </c:pt>
                <c:pt idx="1">
                  <c:v>0.42</c:v>
                </c:pt>
                <c:pt idx="2">
                  <c:v>0.21</c:v>
                </c:pt>
                <c:pt idx="3">
                  <c:v>0.18</c:v>
                </c:pt>
                <c:pt idx="4">
                  <c:v>0.09</c:v>
                </c:pt>
                <c:pt idx="5">
                  <c:v>0.06</c:v>
                </c:pt>
                <c:pt idx="6">
                  <c:v>0.09</c:v>
                </c:pt>
                <c:pt idx="7">
                  <c:v>0.13</c:v>
                </c:pt>
                <c:pt idx="8">
                  <c:v>0.05</c:v>
                </c:pt>
                <c:pt idx="9">
                  <c:v>0.03</c:v>
                </c:pt>
              </c:numCache>
            </c:numRef>
          </c:val>
        </c:ser>
        <c:gapWidth val="75"/>
        <c:overlap val="-25"/>
        <c:axId val="111866240"/>
        <c:axId val="111867776"/>
      </c:barChart>
      <c:catAx>
        <c:axId val="111866240"/>
        <c:scaling>
          <c:orientation val="minMax"/>
        </c:scaling>
        <c:axPos val="b"/>
        <c:majorTickMark val="none"/>
        <c:tickLblPos val="nextTo"/>
        <c:crossAx val="111867776"/>
        <c:crosses val="autoZero"/>
        <c:auto val="1"/>
        <c:lblAlgn val="ctr"/>
        <c:lblOffset val="100"/>
      </c:catAx>
      <c:valAx>
        <c:axId val="111867776"/>
        <c:scaling>
          <c:orientation val="minMax"/>
        </c:scaling>
        <c:axPos val="l"/>
        <c:majorGridlines/>
        <c:numFmt formatCode="0%" sourceLinked="1"/>
        <c:majorTickMark val="none"/>
        <c:tickLblPos val="nextTo"/>
        <c:spPr>
          <a:ln w="9525">
            <a:noFill/>
          </a:ln>
        </c:spPr>
        <c:crossAx val="111866240"/>
        <c:crosses val="autoZero"/>
        <c:crossBetween val="between"/>
      </c:valAx>
    </c:plotArea>
    <c:legend>
      <c:legendPos val="b"/>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Toegankelijkheid digitale collectie van overige instellingen via diverse kanalen (n=4)</a:t>
            </a:r>
            <a:endParaRPr lang="nl-NL"/>
          </a:p>
        </c:rich>
      </c:tx>
    </c:title>
    <c:plotArea>
      <c:layout/>
      <c:barChart>
        <c:barDir val="col"/>
        <c:grouping val="clustered"/>
        <c:ser>
          <c:idx val="0"/>
          <c:order val="0"/>
          <c:tx>
            <c:strRef>
              <c:f>'Q23'!$N$248</c:f>
              <c:strCache>
                <c:ptCount val="1"/>
                <c:pt idx="0">
                  <c:v>nu</c:v>
                </c:pt>
              </c:strCache>
            </c:strRef>
          </c:tx>
          <c:cat>
            <c:strRef>
              <c:f>'Q23'!$M$249:$M$258</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'Q23'!$N$249:$N$258</c:f>
              <c:numCache>
                <c:formatCode>0%</c:formatCode>
                <c:ptCount val="10"/>
                <c:pt idx="0">
                  <c:v>0.47</c:v>
                </c:pt>
                <c:pt idx="1">
                  <c:v>0.28999999999999998</c:v>
                </c:pt>
                <c:pt idx="2">
                  <c:v>0.24</c:v>
                </c:pt>
                <c:pt idx="3">
                  <c:v>0.04</c:v>
                </c:pt>
                <c:pt idx="4">
                  <c:v>0</c:v>
                </c:pt>
                <c:pt idx="5">
                  <c:v>0.01</c:v>
                </c:pt>
                <c:pt idx="6">
                  <c:v>0.01</c:v>
                </c:pt>
                <c:pt idx="7">
                  <c:v>0.37</c:v>
                </c:pt>
                <c:pt idx="8">
                  <c:v>0.01</c:v>
                </c:pt>
                <c:pt idx="9">
                  <c:v>0</c:v>
                </c:pt>
              </c:numCache>
            </c:numRef>
          </c:val>
        </c:ser>
        <c:ser>
          <c:idx val="1"/>
          <c:order val="1"/>
          <c:tx>
            <c:strRef>
              <c:f>'Q23'!$O$248</c:f>
              <c:strCache>
                <c:ptCount val="1"/>
                <c:pt idx="0">
                  <c:v>over 2 jaar</c:v>
                </c:pt>
              </c:strCache>
            </c:strRef>
          </c:tx>
          <c:cat>
            <c:strRef>
              <c:f>'Q23'!$M$249:$M$258</c:f>
              <c:strCache>
                <c:ptCount val="10"/>
                <c:pt idx="0">
                  <c:v>Offline</c:v>
                </c:pt>
                <c:pt idx="1">
                  <c:v>Eigen website</c:v>
                </c:pt>
                <c:pt idx="2">
                  <c:v>Nationale aggregator</c:v>
                </c:pt>
                <c:pt idx="3">
                  <c:v>Europeana</c:v>
                </c:pt>
                <c:pt idx="4">
                  <c:v>Andere aggregatoren</c:v>
                </c:pt>
                <c:pt idx="5">
                  <c:v>Wikipedia</c:v>
                </c:pt>
                <c:pt idx="6">
                  <c:v>Overige sociale media</c:v>
                </c:pt>
                <c:pt idx="7">
                  <c:v>Eigen API</c:v>
                </c:pt>
                <c:pt idx="8">
                  <c:v>API van 3e partij</c:v>
                </c:pt>
                <c:pt idx="9">
                  <c:v>Overig</c:v>
                </c:pt>
              </c:strCache>
            </c:strRef>
          </c:cat>
          <c:val>
            <c:numRef>
              <c:f>'Q23'!$O$249:$O$258</c:f>
              <c:numCache>
                <c:formatCode>0%</c:formatCode>
                <c:ptCount val="10"/>
                <c:pt idx="0">
                  <c:v>0.52</c:v>
                </c:pt>
                <c:pt idx="1">
                  <c:v>0.41</c:v>
                </c:pt>
                <c:pt idx="2">
                  <c:v>0.26</c:v>
                </c:pt>
                <c:pt idx="3">
                  <c:v>0.06</c:v>
                </c:pt>
                <c:pt idx="4">
                  <c:v>0</c:v>
                </c:pt>
                <c:pt idx="5">
                  <c:v>0.02</c:v>
                </c:pt>
                <c:pt idx="6">
                  <c:v>0.02</c:v>
                </c:pt>
                <c:pt idx="7">
                  <c:v>0.4</c:v>
                </c:pt>
                <c:pt idx="8">
                  <c:v>0.03</c:v>
                </c:pt>
                <c:pt idx="9">
                  <c:v>0</c:v>
                </c:pt>
              </c:numCache>
            </c:numRef>
          </c:val>
        </c:ser>
        <c:gapWidth val="75"/>
        <c:overlap val="-25"/>
        <c:axId val="111884544"/>
        <c:axId val="111906816"/>
      </c:barChart>
      <c:catAx>
        <c:axId val="111884544"/>
        <c:scaling>
          <c:orientation val="minMax"/>
        </c:scaling>
        <c:axPos val="b"/>
        <c:majorTickMark val="none"/>
        <c:tickLblPos val="nextTo"/>
        <c:crossAx val="111906816"/>
        <c:crosses val="autoZero"/>
        <c:auto val="1"/>
        <c:lblAlgn val="ctr"/>
        <c:lblOffset val="100"/>
      </c:catAx>
      <c:valAx>
        <c:axId val="111906816"/>
        <c:scaling>
          <c:orientation val="minMax"/>
        </c:scaling>
        <c:axPos val="l"/>
        <c:majorGridlines/>
        <c:numFmt formatCode="0%" sourceLinked="1"/>
        <c:majorTickMark val="none"/>
        <c:tickLblPos val="nextTo"/>
        <c:spPr>
          <a:ln w="9525">
            <a:noFill/>
          </a:ln>
        </c:spPr>
        <c:crossAx val="111884544"/>
        <c:crosses val="autoZero"/>
        <c:crossBetween val="between"/>
      </c:valAx>
    </c:plotArea>
    <c:legend>
      <c:legendPos val="b"/>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Relatieve groei</a:t>
            </a:r>
            <a:r>
              <a:rPr lang="nl-NL" baseline="0"/>
              <a:t> van beschikbaarheid van digitale collecties via specifieke kanalen (n=90)</a:t>
            </a:r>
            <a:endParaRPr lang="nl-NL"/>
          </a:p>
        </c:rich>
      </c:tx>
      <c:layout/>
    </c:title>
    <c:plotArea>
      <c:layout/>
      <c:barChart>
        <c:barDir val="bar"/>
        <c:grouping val="clustered"/>
        <c:ser>
          <c:idx val="0"/>
          <c:order val="0"/>
          <c:cat>
            <c:strRef>
              <c:f>'Q23'!$Q$6:$Q$14</c:f>
              <c:strCache>
                <c:ptCount val="9"/>
                <c:pt idx="0">
                  <c:v>Offline</c:v>
                </c:pt>
                <c:pt idx="1">
                  <c:v>Eigen website</c:v>
                </c:pt>
                <c:pt idx="2">
                  <c:v>API van 3e partij</c:v>
                </c:pt>
                <c:pt idx="3">
                  <c:v>Eigen API</c:v>
                </c:pt>
                <c:pt idx="4">
                  <c:v>Nationale aggregator</c:v>
                </c:pt>
                <c:pt idx="5">
                  <c:v>Europeana</c:v>
                </c:pt>
                <c:pt idx="6">
                  <c:v>Andere aggregatoren</c:v>
                </c:pt>
                <c:pt idx="7">
                  <c:v>Overige sociale media</c:v>
                </c:pt>
                <c:pt idx="8">
                  <c:v>Wikipedia</c:v>
                </c:pt>
              </c:strCache>
            </c:strRef>
          </c:cat>
          <c:val>
            <c:numRef>
              <c:f>'Q23'!$R$6:$R$14</c:f>
              <c:numCache>
                <c:formatCode>0%</c:formatCode>
                <c:ptCount val="9"/>
                <c:pt idx="0">
                  <c:v>-4.3478260869565251E-2</c:v>
                </c:pt>
                <c:pt idx="1">
                  <c:v>0.29411764705882343</c:v>
                </c:pt>
                <c:pt idx="2">
                  <c:v>0.1999999999999999</c:v>
                </c:pt>
                <c:pt idx="3">
                  <c:v>0.49999999999999989</c:v>
                </c:pt>
                <c:pt idx="4">
                  <c:v>0.49999999999999978</c:v>
                </c:pt>
                <c:pt idx="5">
                  <c:v>0.79999999999999982</c:v>
                </c:pt>
                <c:pt idx="6">
                  <c:v>1.3333333333333337</c:v>
                </c:pt>
                <c:pt idx="7">
                  <c:v>1.3333333333333337</c:v>
                </c:pt>
                <c:pt idx="8">
                  <c:v>3</c:v>
                </c:pt>
              </c:numCache>
            </c:numRef>
          </c:val>
        </c:ser>
        <c:dLbls/>
        <c:gapWidth val="75"/>
        <c:overlap val="-25"/>
        <c:axId val="83408768"/>
        <c:axId val="83410304"/>
      </c:barChart>
      <c:catAx>
        <c:axId val="83408768"/>
        <c:scaling>
          <c:orientation val="minMax"/>
        </c:scaling>
        <c:axPos val="l"/>
        <c:majorTickMark val="none"/>
        <c:tickLblPos val="nextTo"/>
        <c:crossAx val="83410304"/>
        <c:crosses val="autoZero"/>
        <c:auto val="1"/>
        <c:lblAlgn val="ctr"/>
        <c:lblOffset val="100"/>
      </c:catAx>
      <c:valAx>
        <c:axId val="83410304"/>
        <c:scaling>
          <c:orientation val="minMax"/>
        </c:scaling>
        <c:axPos val="b"/>
        <c:majorGridlines/>
        <c:numFmt formatCode="0%" sourceLinked="1"/>
        <c:majorTickMark val="none"/>
        <c:tickLblPos val="nextTo"/>
        <c:spPr>
          <a:ln w="9525">
            <a:noFill/>
          </a:ln>
        </c:spPr>
        <c:crossAx val="83408768"/>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Specificering van aantal betaalde medewerkers bij respondenten</a:t>
            </a:r>
          </a:p>
          <a:p>
            <a:pPr>
              <a:defRPr/>
            </a:pPr>
            <a:r>
              <a:rPr lang="nl-NL" sz="1800" b="1" i="0" baseline="0"/>
              <a:t>(n=131)</a:t>
            </a:r>
          </a:p>
        </c:rich>
      </c:tx>
      <c:layout/>
    </c:title>
    <c:plotArea>
      <c:layout/>
      <c:barChart>
        <c:barDir val="col"/>
        <c:grouping val="percentStacked"/>
        <c:ser>
          <c:idx val="0"/>
          <c:order val="0"/>
          <c:tx>
            <c:strRef>
              <c:f>'Q10'!$E$20</c:f>
              <c:strCache>
                <c:ptCount val="1"/>
                <c:pt idx="0">
                  <c:v>Archieven</c:v>
                </c:pt>
              </c:strCache>
            </c:strRef>
          </c:tx>
          <c:cat>
            <c:strRef>
              <c:f>'Q10'!$D$21:$D$27</c:f>
              <c:strCache>
                <c:ptCount val="7"/>
                <c:pt idx="0">
                  <c:v> 0</c:v>
                </c:pt>
                <c:pt idx="1">
                  <c:v> 1-5</c:v>
                </c:pt>
                <c:pt idx="2">
                  <c:v> 6-25</c:v>
                </c:pt>
                <c:pt idx="3">
                  <c:v>26-50</c:v>
                </c:pt>
                <c:pt idx="4">
                  <c:v>51-100</c:v>
                </c:pt>
                <c:pt idx="5">
                  <c:v>101-200</c:v>
                </c:pt>
                <c:pt idx="6">
                  <c:v>&gt; 200</c:v>
                </c:pt>
              </c:strCache>
            </c:strRef>
          </c:cat>
          <c:val>
            <c:numRef>
              <c:f>'Q10'!$E$21:$E$27</c:f>
              <c:numCache>
                <c:formatCode>General</c:formatCode>
                <c:ptCount val="7"/>
                <c:pt idx="0">
                  <c:v>0</c:v>
                </c:pt>
                <c:pt idx="1">
                  <c:v>13</c:v>
                </c:pt>
                <c:pt idx="2">
                  <c:v>13</c:v>
                </c:pt>
                <c:pt idx="3">
                  <c:v>5</c:v>
                </c:pt>
                <c:pt idx="4">
                  <c:v>3</c:v>
                </c:pt>
                <c:pt idx="5">
                  <c:v>1</c:v>
                </c:pt>
                <c:pt idx="6">
                  <c:v>0</c:v>
                </c:pt>
              </c:numCache>
            </c:numRef>
          </c:val>
        </c:ser>
        <c:ser>
          <c:idx val="1"/>
          <c:order val="1"/>
          <c:tx>
            <c:strRef>
              <c:f>'Q10'!$F$20</c:f>
              <c:strCache>
                <c:ptCount val="1"/>
                <c:pt idx="0">
                  <c:v>Bibliotheken</c:v>
                </c:pt>
              </c:strCache>
            </c:strRef>
          </c:tx>
          <c:cat>
            <c:strRef>
              <c:f>'Q10'!$D$21:$D$27</c:f>
              <c:strCache>
                <c:ptCount val="7"/>
                <c:pt idx="0">
                  <c:v> 0</c:v>
                </c:pt>
                <c:pt idx="1">
                  <c:v> 1-5</c:v>
                </c:pt>
                <c:pt idx="2">
                  <c:v> 6-25</c:v>
                </c:pt>
                <c:pt idx="3">
                  <c:v>26-50</c:v>
                </c:pt>
                <c:pt idx="4">
                  <c:v>51-100</c:v>
                </c:pt>
                <c:pt idx="5">
                  <c:v>101-200</c:v>
                </c:pt>
                <c:pt idx="6">
                  <c:v>&gt; 200</c:v>
                </c:pt>
              </c:strCache>
            </c:strRef>
          </c:cat>
          <c:val>
            <c:numRef>
              <c:f>'Q10'!$F$21:$F$27</c:f>
              <c:numCache>
                <c:formatCode>General</c:formatCode>
                <c:ptCount val="7"/>
                <c:pt idx="0">
                  <c:v>0</c:v>
                </c:pt>
                <c:pt idx="1">
                  <c:v>1</c:v>
                </c:pt>
                <c:pt idx="2">
                  <c:v>1</c:v>
                </c:pt>
                <c:pt idx="3">
                  <c:v>3</c:v>
                </c:pt>
                <c:pt idx="4">
                  <c:v>1</c:v>
                </c:pt>
                <c:pt idx="5">
                  <c:v>0</c:v>
                </c:pt>
                <c:pt idx="6">
                  <c:v>0</c:v>
                </c:pt>
              </c:numCache>
            </c:numRef>
          </c:val>
        </c:ser>
        <c:ser>
          <c:idx val="2"/>
          <c:order val="2"/>
          <c:tx>
            <c:strRef>
              <c:f>'Q10'!$G$20</c:f>
              <c:strCache>
                <c:ptCount val="1"/>
                <c:pt idx="0">
                  <c:v>Musea</c:v>
                </c:pt>
              </c:strCache>
            </c:strRef>
          </c:tx>
          <c:cat>
            <c:strRef>
              <c:f>'Q10'!$D$21:$D$27</c:f>
              <c:strCache>
                <c:ptCount val="7"/>
                <c:pt idx="0">
                  <c:v> 0</c:v>
                </c:pt>
                <c:pt idx="1">
                  <c:v> 1-5</c:v>
                </c:pt>
                <c:pt idx="2">
                  <c:v> 6-25</c:v>
                </c:pt>
                <c:pt idx="3">
                  <c:v>26-50</c:v>
                </c:pt>
                <c:pt idx="4">
                  <c:v>51-100</c:v>
                </c:pt>
                <c:pt idx="5">
                  <c:v>101-200</c:v>
                </c:pt>
                <c:pt idx="6">
                  <c:v>&gt; 200</c:v>
                </c:pt>
              </c:strCache>
            </c:strRef>
          </c:cat>
          <c:val>
            <c:numRef>
              <c:f>'Q10'!$G$21:$G$27</c:f>
              <c:numCache>
                <c:formatCode>General</c:formatCode>
                <c:ptCount val="7"/>
                <c:pt idx="0">
                  <c:v>10</c:v>
                </c:pt>
                <c:pt idx="1">
                  <c:v>35</c:v>
                </c:pt>
                <c:pt idx="2">
                  <c:v>18</c:v>
                </c:pt>
                <c:pt idx="3">
                  <c:v>10</c:v>
                </c:pt>
                <c:pt idx="4">
                  <c:v>8</c:v>
                </c:pt>
                <c:pt idx="5">
                  <c:v>3</c:v>
                </c:pt>
                <c:pt idx="6">
                  <c:v>0</c:v>
                </c:pt>
              </c:numCache>
            </c:numRef>
          </c:val>
        </c:ser>
        <c:ser>
          <c:idx val="3"/>
          <c:order val="3"/>
          <c:tx>
            <c:strRef>
              <c:f>'Q10'!$H$20</c:f>
              <c:strCache>
                <c:ptCount val="1"/>
                <c:pt idx="0">
                  <c:v>Overig</c:v>
                </c:pt>
              </c:strCache>
            </c:strRef>
          </c:tx>
          <c:cat>
            <c:strRef>
              <c:f>'Q10'!$D$21:$D$27</c:f>
              <c:strCache>
                <c:ptCount val="7"/>
                <c:pt idx="0">
                  <c:v> 0</c:v>
                </c:pt>
                <c:pt idx="1">
                  <c:v> 1-5</c:v>
                </c:pt>
                <c:pt idx="2">
                  <c:v> 6-25</c:v>
                </c:pt>
                <c:pt idx="3">
                  <c:v>26-50</c:v>
                </c:pt>
                <c:pt idx="4">
                  <c:v>51-100</c:v>
                </c:pt>
                <c:pt idx="5">
                  <c:v>101-200</c:v>
                </c:pt>
                <c:pt idx="6">
                  <c:v>&gt; 200</c:v>
                </c:pt>
              </c:strCache>
            </c:strRef>
          </c:cat>
          <c:val>
            <c:numRef>
              <c:f>'Q10'!$H$21:$H$27</c:f>
              <c:numCache>
                <c:formatCode>General</c:formatCode>
                <c:ptCount val="7"/>
                <c:pt idx="0">
                  <c:v>0</c:v>
                </c:pt>
                <c:pt idx="1">
                  <c:v>2</c:v>
                </c:pt>
                <c:pt idx="2">
                  <c:v>0</c:v>
                </c:pt>
                <c:pt idx="3">
                  <c:v>1</c:v>
                </c:pt>
                <c:pt idx="4">
                  <c:v>0</c:v>
                </c:pt>
                <c:pt idx="5">
                  <c:v>2</c:v>
                </c:pt>
                <c:pt idx="6">
                  <c:v>1</c:v>
                </c:pt>
              </c:numCache>
            </c:numRef>
          </c:val>
        </c:ser>
        <c:gapWidth val="75"/>
        <c:overlap val="100"/>
        <c:axId val="108341504"/>
        <c:axId val="108355584"/>
      </c:barChart>
      <c:catAx>
        <c:axId val="108341504"/>
        <c:scaling>
          <c:orientation val="minMax"/>
        </c:scaling>
        <c:axPos val="b"/>
        <c:majorTickMark val="none"/>
        <c:tickLblPos val="nextTo"/>
        <c:crossAx val="108355584"/>
        <c:crosses val="autoZero"/>
        <c:auto val="1"/>
        <c:lblAlgn val="ctr"/>
        <c:lblOffset val="100"/>
      </c:catAx>
      <c:valAx>
        <c:axId val="108355584"/>
        <c:scaling>
          <c:orientation val="minMax"/>
        </c:scaling>
        <c:axPos val="l"/>
        <c:majorGridlines/>
        <c:numFmt formatCode="0%" sourceLinked="1"/>
        <c:majorTickMark val="none"/>
        <c:tickLblPos val="nextTo"/>
        <c:spPr>
          <a:ln w="9525">
            <a:noFill/>
          </a:ln>
        </c:spPr>
        <c:crossAx val="108341504"/>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Is</a:t>
            </a:r>
            <a:r>
              <a:rPr lang="nl-NL" baseline="0"/>
              <a:t> er een beleidsdocument t.b.v digitaal duurzame toegankelijkheid? (n=101)</a:t>
            </a:r>
            <a:endParaRPr lang="nl-NL"/>
          </a:p>
        </c:rich>
      </c:tx>
      <c:layout/>
    </c:title>
    <c:plotArea>
      <c:layout/>
      <c:pieChart>
        <c:varyColors val="1"/>
        <c:ser>
          <c:idx val="0"/>
          <c:order val="0"/>
          <c:dLbls>
            <c:showPercent val="1"/>
            <c:showLeaderLines val="1"/>
          </c:dLbls>
          <c:cat>
            <c:strRef>
              <c:f>'Q24'!$E$5:$E$6</c:f>
              <c:strCache>
                <c:ptCount val="2"/>
                <c:pt idx="0">
                  <c:v>ja</c:v>
                </c:pt>
                <c:pt idx="1">
                  <c:v>nee</c:v>
                </c:pt>
              </c:strCache>
            </c:strRef>
          </c:cat>
          <c:val>
            <c:numRef>
              <c:f>'Q24'!$F$5:$F$6</c:f>
              <c:numCache>
                <c:formatCode>General</c:formatCode>
                <c:ptCount val="2"/>
                <c:pt idx="0">
                  <c:v>33</c:v>
                </c:pt>
                <c:pt idx="1">
                  <c:v>68</c:v>
                </c:pt>
              </c:numCache>
            </c:numRef>
          </c:val>
        </c:ser>
        <c:dLbls>
          <c:showPercent val="1"/>
        </c:dLbls>
        <c:firstSliceAng val="0"/>
      </c:pieChart>
    </c:plotArea>
    <c:legend>
      <c:legendPos val="t"/>
      <c:layout/>
    </c:legend>
    <c:plotVisOnly val="1"/>
    <c:dispBlanksAs val="zero"/>
  </c:chart>
  <c:printSettings>
    <c:headerFooter/>
    <c:pageMargins b="0.75000000000000178" l="0.70000000000000062" r="0.70000000000000062" t="0.75000000000000178"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Is er een beleidsdocument t.b.v digitaal duurzame toegankelijkheid? (per domein) (n=101)</a:t>
            </a:r>
          </a:p>
        </c:rich>
      </c:tx>
      <c:layout/>
    </c:title>
    <c:plotArea>
      <c:layout/>
      <c:barChart>
        <c:barDir val="bar"/>
        <c:grouping val="clustered"/>
        <c:ser>
          <c:idx val="0"/>
          <c:order val="0"/>
          <c:cat>
            <c:strRef>
              <c:f>'Q24'!$E$20:$E$23</c:f>
              <c:strCache>
                <c:ptCount val="4"/>
                <c:pt idx="0">
                  <c:v>musea (n=60)</c:v>
                </c:pt>
                <c:pt idx="1">
                  <c:v>archieven (n=29)</c:v>
                </c:pt>
                <c:pt idx="2">
                  <c:v>bibliotheken (n=7)</c:v>
                </c:pt>
                <c:pt idx="3">
                  <c:v>overig (n=5)</c:v>
                </c:pt>
              </c:strCache>
            </c:strRef>
          </c:cat>
          <c:val>
            <c:numRef>
              <c:f>'Q24'!$F$20:$F$23</c:f>
              <c:numCache>
                <c:formatCode>0%</c:formatCode>
                <c:ptCount val="4"/>
                <c:pt idx="0">
                  <c:v>0.25</c:v>
                </c:pt>
                <c:pt idx="1">
                  <c:v>0.34482758620689657</c:v>
                </c:pt>
                <c:pt idx="2">
                  <c:v>0.5714285714285714</c:v>
                </c:pt>
                <c:pt idx="3">
                  <c:v>0.8</c:v>
                </c:pt>
              </c:numCache>
            </c:numRef>
          </c:val>
        </c:ser>
        <c:dLbls>
          <c:showVal val="1"/>
        </c:dLbls>
        <c:overlap val="-25"/>
        <c:axId val="111950464"/>
        <c:axId val="111972736"/>
      </c:barChart>
      <c:catAx>
        <c:axId val="111950464"/>
        <c:scaling>
          <c:orientation val="minMax"/>
        </c:scaling>
        <c:axPos val="l"/>
        <c:majorTickMark val="none"/>
        <c:tickLblPos val="nextTo"/>
        <c:crossAx val="111972736"/>
        <c:crosses val="autoZero"/>
        <c:auto val="1"/>
        <c:lblAlgn val="ctr"/>
        <c:lblOffset val="100"/>
      </c:catAx>
      <c:valAx>
        <c:axId val="111972736"/>
        <c:scaling>
          <c:orientation val="minMax"/>
        </c:scaling>
        <c:delete val="1"/>
        <c:axPos val="b"/>
        <c:numFmt formatCode="0%" sourceLinked="1"/>
        <c:tickLblPos val="none"/>
        <c:crossAx val="111950464"/>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Digitale</a:t>
            </a:r>
            <a:r>
              <a:rPr lang="nl-NL" baseline="0"/>
              <a:t> collecties beheerd in digitaal duurzaam e-depot (n=94)</a:t>
            </a:r>
            <a:endParaRPr lang="nl-NL"/>
          </a:p>
        </c:rich>
      </c:tx>
      <c:layout/>
    </c:title>
    <c:plotArea>
      <c:layout/>
      <c:pieChart>
        <c:varyColors val="1"/>
        <c:ser>
          <c:idx val="0"/>
          <c:order val="0"/>
          <c:dLbls>
            <c:showPercent val="1"/>
            <c:showLeaderLines val="1"/>
          </c:dLbls>
          <c:cat>
            <c:strRef>
              <c:f>'Q25'!$I$5:$I$6</c:f>
              <c:strCache>
                <c:ptCount val="2"/>
                <c:pt idx="0">
                  <c:v>ja</c:v>
                </c:pt>
                <c:pt idx="1">
                  <c:v>nee</c:v>
                </c:pt>
              </c:strCache>
            </c:strRef>
          </c:cat>
          <c:val>
            <c:numRef>
              <c:f>'Q25'!$J$5:$J$6</c:f>
              <c:numCache>
                <c:formatCode>General</c:formatCode>
                <c:ptCount val="2"/>
                <c:pt idx="0">
                  <c:v>27</c:v>
                </c:pt>
                <c:pt idx="1">
                  <c:v>67</c:v>
                </c:pt>
              </c:numCache>
            </c:numRef>
          </c:val>
        </c:ser>
        <c:dLbls>
          <c:showPercent val="1"/>
        </c:dLbls>
        <c:firstSliceAng val="0"/>
      </c:pieChart>
    </c:plotArea>
    <c:legend>
      <c:legendPos val="t"/>
      <c:layout/>
    </c:legend>
    <c:plotVisOnly val="1"/>
    <c:dispBlanksAs val="zero"/>
  </c:chart>
  <c:printSettings>
    <c:headerFooter/>
    <c:pageMargins b="0.75000000000000178" l="0.70000000000000062" r="0.70000000000000062" t="0.7500000000000017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Instellingen met collecties in een digitaal</a:t>
            </a:r>
            <a:r>
              <a:rPr lang="nl-NL" baseline="0"/>
              <a:t> duurzaam depot (n=27)</a:t>
            </a:r>
            <a:endParaRPr lang="nl-NL"/>
          </a:p>
        </c:rich>
      </c:tx>
      <c:layout/>
    </c:title>
    <c:plotArea>
      <c:layout/>
      <c:pieChart>
        <c:varyColors val="1"/>
        <c:ser>
          <c:idx val="0"/>
          <c:order val="0"/>
          <c:dLbls>
            <c:showPercent val="1"/>
            <c:showLeaderLines val="1"/>
          </c:dLbls>
          <c:cat>
            <c:strRef>
              <c:f>'Q25'!$I$12:$I$14</c:f>
              <c:strCache>
                <c:ptCount val="3"/>
                <c:pt idx="0">
                  <c:v>In eigen digitaal depot</c:v>
                </c:pt>
                <c:pt idx="1">
                  <c:v>In een professioneel openbaar digitaal depot</c:v>
                </c:pt>
                <c:pt idx="2">
                  <c:v>In een professioneel particulier digitaal depot</c:v>
                </c:pt>
              </c:strCache>
            </c:strRef>
          </c:cat>
          <c:val>
            <c:numRef>
              <c:f>'Q25'!$J$12:$J$14</c:f>
              <c:numCache>
                <c:formatCode>General</c:formatCode>
                <c:ptCount val="3"/>
                <c:pt idx="0">
                  <c:v>6</c:v>
                </c:pt>
                <c:pt idx="1">
                  <c:v>9</c:v>
                </c:pt>
                <c:pt idx="2">
                  <c:v>12</c:v>
                </c:pt>
              </c:numCache>
            </c:numRef>
          </c:val>
        </c:ser>
        <c:dLbls>
          <c:showPercent val="1"/>
        </c:dLbls>
        <c:firstSliceAng val="0"/>
      </c:pieChart>
    </c:plotArea>
    <c:legend>
      <c:legendPos val="t"/>
      <c:layout/>
    </c:legend>
    <c:plotVisOnly val="1"/>
    <c:dispBlanksAs val="zero"/>
  </c:chart>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Digitale collecties beheerd in digitaal duurzame depot</a:t>
            </a:r>
          </a:p>
          <a:p>
            <a:pPr>
              <a:defRPr/>
            </a:pPr>
            <a:r>
              <a:rPr lang="nl-NL"/>
              <a:t> (per</a:t>
            </a:r>
            <a:r>
              <a:rPr lang="nl-NL" baseline="0"/>
              <a:t> domein) (n=94)</a:t>
            </a:r>
            <a:endParaRPr lang="nl-NL"/>
          </a:p>
        </c:rich>
      </c:tx>
      <c:layout/>
    </c:title>
    <c:plotArea>
      <c:layout/>
      <c:barChart>
        <c:barDir val="col"/>
        <c:grouping val="percentStacked"/>
        <c:ser>
          <c:idx val="0"/>
          <c:order val="0"/>
          <c:tx>
            <c:strRef>
              <c:f>'Q25'!$I$19</c:f>
              <c:strCache>
                <c:ptCount val="1"/>
                <c:pt idx="0">
                  <c:v>ja</c:v>
                </c:pt>
              </c:strCache>
            </c:strRef>
          </c:tx>
          <c:cat>
            <c:strRef>
              <c:f>'Q25'!$J$18:$M$18</c:f>
              <c:strCache>
                <c:ptCount val="4"/>
                <c:pt idx="0">
                  <c:v>archieven (n=29)</c:v>
                </c:pt>
                <c:pt idx="1">
                  <c:v>bibliotheken (n=7)</c:v>
                </c:pt>
                <c:pt idx="2">
                  <c:v>musea (n=53)</c:v>
                </c:pt>
                <c:pt idx="3">
                  <c:v>overig (n=5)</c:v>
                </c:pt>
              </c:strCache>
            </c:strRef>
          </c:cat>
          <c:val>
            <c:numRef>
              <c:f>'Q25'!$J$19:$M$19</c:f>
              <c:numCache>
                <c:formatCode>General</c:formatCode>
                <c:ptCount val="4"/>
                <c:pt idx="0">
                  <c:v>7</c:v>
                </c:pt>
                <c:pt idx="1">
                  <c:v>3</c:v>
                </c:pt>
                <c:pt idx="2">
                  <c:v>13</c:v>
                </c:pt>
                <c:pt idx="3">
                  <c:v>3</c:v>
                </c:pt>
              </c:numCache>
            </c:numRef>
          </c:val>
        </c:ser>
        <c:ser>
          <c:idx val="1"/>
          <c:order val="1"/>
          <c:tx>
            <c:strRef>
              <c:f>'Q25'!$I$20</c:f>
              <c:strCache>
                <c:ptCount val="1"/>
                <c:pt idx="0">
                  <c:v>nee</c:v>
                </c:pt>
              </c:strCache>
            </c:strRef>
          </c:tx>
          <c:cat>
            <c:strRef>
              <c:f>'Q25'!$J$18:$M$18</c:f>
              <c:strCache>
                <c:ptCount val="4"/>
                <c:pt idx="0">
                  <c:v>archieven (n=29)</c:v>
                </c:pt>
                <c:pt idx="1">
                  <c:v>bibliotheken (n=7)</c:v>
                </c:pt>
                <c:pt idx="2">
                  <c:v>musea (n=53)</c:v>
                </c:pt>
                <c:pt idx="3">
                  <c:v>overig (n=5)</c:v>
                </c:pt>
              </c:strCache>
            </c:strRef>
          </c:cat>
          <c:val>
            <c:numRef>
              <c:f>'Q25'!$J$20:$M$20</c:f>
              <c:numCache>
                <c:formatCode>General</c:formatCode>
                <c:ptCount val="4"/>
                <c:pt idx="0">
                  <c:v>22</c:v>
                </c:pt>
                <c:pt idx="1">
                  <c:v>4</c:v>
                </c:pt>
                <c:pt idx="2">
                  <c:v>40</c:v>
                </c:pt>
                <c:pt idx="3">
                  <c:v>2</c:v>
                </c:pt>
              </c:numCache>
            </c:numRef>
          </c:val>
        </c:ser>
        <c:gapWidth val="75"/>
        <c:overlap val="100"/>
        <c:axId val="111458176"/>
        <c:axId val="111459712"/>
      </c:barChart>
      <c:catAx>
        <c:axId val="111458176"/>
        <c:scaling>
          <c:orientation val="minMax"/>
        </c:scaling>
        <c:axPos val="b"/>
        <c:majorTickMark val="none"/>
        <c:tickLblPos val="nextTo"/>
        <c:crossAx val="111459712"/>
        <c:crosses val="autoZero"/>
        <c:auto val="1"/>
        <c:lblAlgn val="ctr"/>
        <c:lblOffset val="100"/>
      </c:catAx>
      <c:valAx>
        <c:axId val="111459712"/>
        <c:scaling>
          <c:orientation val="minMax"/>
        </c:scaling>
        <c:axPos val="l"/>
        <c:majorGridlines/>
        <c:numFmt formatCode="0%" sourceLinked="1"/>
        <c:majorTickMark val="none"/>
        <c:tickLblPos val="nextTo"/>
        <c:spPr>
          <a:ln w="9525">
            <a:noFill/>
          </a:ln>
        </c:spPr>
        <c:crossAx val="111458176"/>
        <c:crosses val="autoZero"/>
        <c:crossBetween val="between"/>
      </c:valAx>
    </c:plotArea>
    <c:legend>
      <c:legendPos val="b"/>
      <c:layout/>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Instellingen</a:t>
            </a:r>
            <a:r>
              <a:rPr lang="nl-NL" baseline="0"/>
              <a:t> met collecties in een digitaal duurzaam depot (Europa; n=905)</a:t>
            </a:r>
            <a:endParaRPr lang="nl-NL"/>
          </a:p>
        </c:rich>
      </c:tx>
    </c:title>
    <c:plotArea>
      <c:layout/>
      <c:pieChart>
        <c:varyColors val="1"/>
        <c:ser>
          <c:idx val="0"/>
          <c:order val="0"/>
          <c:dLbls>
            <c:showPercent val="1"/>
            <c:showLeaderLines val="1"/>
          </c:dLbls>
          <c:cat>
            <c:strRef>
              <c:f>'Q25'!$W$4:$W$6</c:f>
              <c:strCache>
                <c:ptCount val="3"/>
                <c:pt idx="0">
                  <c:v>In eigen digitaal depot</c:v>
                </c:pt>
                <c:pt idx="1">
                  <c:v>In een professioneel openbaar digitaal depot</c:v>
                </c:pt>
                <c:pt idx="2">
                  <c:v>In een professioneel particulier digitaal depot</c:v>
                </c:pt>
              </c:strCache>
            </c:strRef>
          </c:cat>
          <c:val>
            <c:numRef>
              <c:f>'Q25'!$X$4:$X$6</c:f>
              <c:numCache>
                <c:formatCode>General</c:formatCode>
                <c:ptCount val="3"/>
                <c:pt idx="0">
                  <c:v>18</c:v>
                </c:pt>
                <c:pt idx="1">
                  <c:v>16</c:v>
                </c:pt>
                <c:pt idx="2">
                  <c:v>9</c:v>
                </c:pt>
              </c:numCache>
            </c:numRef>
          </c:val>
        </c:ser>
        <c:dLbls>
          <c:showPercent val="1"/>
        </c:dLbls>
        <c:firstSliceAng val="0"/>
      </c:pieChart>
    </c:plotArea>
    <c:legend>
      <c:legendPos val="t"/>
    </c:legend>
    <c:plotVisOnly val="1"/>
    <c:dispBlanksAs val="zero"/>
  </c:chart>
  <c:printSettings>
    <c:headerFooter/>
    <c:pageMargins b="0.75000000000000056" l="0.70000000000000051" r="0.70000000000000051" t="0.75000000000000056" header="0.30000000000000027" footer="0.30000000000000027"/>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Gemiddelde</a:t>
            </a:r>
            <a:r>
              <a:rPr lang="nl-NL" baseline="0"/>
              <a:t> j</a:t>
            </a:r>
            <a:r>
              <a:rPr lang="nl-NL"/>
              <a:t>aarlijkse uitgaven aan digitale collecties (n=99)</a:t>
            </a:r>
          </a:p>
        </c:rich>
      </c:tx>
      <c:layout/>
    </c:title>
    <c:plotArea>
      <c:layout/>
      <c:barChart>
        <c:barDir val="col"/>
        <c:grouping val="clustered"/>
        <c:ser>
          <c:idx val="0"/>
          <c:order val="0"/>
          <c:dPt>
            <c:idx val="3"/>
            <c:spPr>
              <a:solidFill>
                <a:srgbClr val="C00000"/>
              </a:solidFill>
            </c:spPr>
          </c:dPt>
          <c:cat>
            <c:strRef>
              <c:f>'Q26'!$H$5:$H$9</c:f>
              <c:strCache>
                <c:ptCount val="5"/>
                <c:pt idx="0">
                  <c:v>Gemiddeld intern budget</c:v>
                </c:pt>
                <c:pt idx="1">
                  <c:v>Gemiddeld projectbudget</c:v>
                </c:pt>
                <c:pt idx="2">
                  <c:v>Gemiddeld totaalbudget</c:v>
                </c:pt>
                <c:pt idx="3">
                  <c:v>Mediaan intern budget</c:v>
                </c:pt>
                <c:pt idx="4">
                  <c:v>Mediaan projectbudget</c:v>
                </c:pt>
              </c:strCache>
            </c:strRef>
          </c:cat>
          <c:val>
            <c:numRef>
              <c:f>'Q26'!$I$5:$I$9</c:f>
              <c:numCache>
                <c:formatCode>"€"\ #,##0</c:formatCode>
                <c:ptCount val="5"/>
                <c:pt idx="0">
                  <c:v>134415</c:v>
                </c:pt>
                <c:pt idx="1">
                  <c:v>89364</c:v>
                </c:pt>
                <c:pt idx="2">
                  <c:v>223779</c:v>
                </c:pt>
                <c:pt idx="3">
                  <c:v>20000</c:v>
                </c:pt>
                <c:pt idx="4">
                  <c:v>0</c:v>
                </c:pt>
              </c:numCache>
            </c:numRef>
          </c:val>
        </c:ser>
        <c:dLbls>
          <c:showVal val="1"/>
        </c:dLbls>
        <c:overlap val="-25"/>
        <c:axId val="112196224"/>
        <c:axId val="112206208"/>
      </c:barChart>
      <c:catAx>
        <c:axId val="112196224"/>
        <c:scaling>
          <c:orientation val="minMax"/>
        </c:scaling>
        <c:axPos val="b"/>
        <c:majorTickMark val="none"/>
        <c:tickLblPos val="nextTo"/>
        <c:crossAx val="112206208"/>
        <c:crosses val="autoZero"/>
        <c:auto val="1"/>
        <c:lblAlgn val="ctr"/>
        <c:lblOffset val="100"/>
      </c:catAx>
      <c:valAx>
        <c:axId val="112206208"/>
        <c:scaling>
          <c:orientation val="minMax"/>
        </c:scaling>
        <c:delete val="1"/>
        <c:axPos val="l"/>
        <c:numFmt formatCode="&quot;€&quot;\ #,##0" sourceLinked="1"/>
        <c:tickLblPos val="none"/>
        <c:crossAx val="112196224"/>
        <c:crosses val="autoZero"/>
        <c:crossBetween val="between"/>
      </c:valAx>
    </c:plotArea>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Uitgaven aan digitale</a:t>
            </a:r>
            <a:r>
              <a:rPr lang="nl-NL" baseline="0"/>
              <a:t> collecties (n=99)</a:t>
            </a:r>
            <a:endParaRPr lang="nl-NL"/>
          </a:p>
        </c:rich>
      </c:tx>
      <c:layout/>
    </c:title>
    <c:plotArea>
      <c:layout/>
      <c:pieChart>
        <c:varyColors val="1"/>
        <c:ser>
          <c:idx val="0"/>
          <c:order val="0"/>
          <c:dLbls>
            <c:showPercent val="1"/>
            <c:showLeaderLines val="1"/>
          </c:dLbls>
          <c:cat>
            <c:strRef>
              <c:f>'Q26'!$H$12:$H$13</c:f>
              <c:strCache>
                <c:ptCount val="2"/>
                <c:pt idx="0">
                  <c:v>Instellingen met uitgaven</c:v>
                </c:pt>
                <c:pt idx="1">
                  <c:v>Instellingen zonder uitgaven</c:v>
                </c:pt>
              </c:strCache>
            </c:strRef>
          </c:cat>
          <c:val>
            <c:numRef>
              <c:f>'Q26'!$I$12:$I$13</c:f>
              <c:numCache>
                <c:formatCode>0</c:formatCode>
                <c:ptCount val="2"/>
                <c:pt idx="0">
                  <c:v>85</c:v>
                </c:pt>
                <c:pt idx="1">
                  <c:v>14</c:v>
                </c:pt>
              </c:numCache>
            </c:numRef>
          </c:val>
        </c:ser>
        <c:dLbls>
          <c:showPercent val="1"/>
        </c:dLbls>
        <c:firstSliceAng val="0"/>
      </c:pieChart>
    </c:plotArea>
    <c:legend>
      <c:legendPos val="t"/>
      <c:layout/>
    </c:legend>
    <c:plotVisOnly val="1"/>
    <c:dispBlanksAs val="zero"/>
  </c:chart>
  <c:printSettings>
    <c:headerFooter/>
    <c:pageMargins b="0.75000000000000155" l="0.70000000000000062" r="0.70000000000000062" t="0.7500000000000015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Beschikbaarheid budgetten </a:t>
            </a:r>
          </a:p>
          <a:p>
            <a:pPr>
              <a:defRPr/>
            </a:pPr>
            <a:r>
              <a:rPr lang="nl-NL"/>
              <a:t>voor</a:t>
            </a:r>
            <a:r>
              <a:rPr lang="nl-NL" baseline="0"/>
              <a:t> digitale collecties</a:t>
            </a:r>
          </a:p>
          <a:p>
            <a:pPr>
              <a:defRPr/>
            </a:pPr>
            <a:r>
              <a:rPr lang="nl-NL" baseline="0"/>
              <a:t>(n=85)	</a:t>
            </a:r>
            <a:endParaRPr lang="nl-NL"/>
          </a:p>
        </c:rich>
      </c:tx>
      <c:layout/>
    </c:title>
    <c:plotArea>
      <c:layout/>
      <c:barChart>
        <c:barDir val="col"/>
        <c:grouping val="clustered"/>
        <c:ser>
          <c:idx val="0"/>
          <c:order val="0"/>
          <c:cat>
            <c:strRef>
              <c:f>'Q26'!$H$16:$H$17</c:f>
              <c:strCache>
                <c:ptCount val="2"/>
                <c:pt idx="0">
                  <c:v>Beschikbaarheid intern budget</c:v>
                </c:pt>
                <c:pt idx="1">
                  <c:v>Beschikbaarheid projectbudget</c:v>
                </c:pt>
              </c:strCache>
            </c:strRef>
          </c:cat>
          <c:val>
            <c:numRef>
              <c:f>'Q26'!$I$16:$I$17</c:f>
              <c:numCache>
                <c:formatCode>0%</c:formatCode>
                <c:ptCount val="2"/>
                <c:pt idx="0">
                  <c:v>0.9882352941176471</c:v>
                </c:pt>
                <c:pt idx="1">
                  <c:v>0.49411764705882355</c:v>
                </c:pt>
              </c:numCache>
            </c:numRef>
          </c:val>
        </c:ser>
        <c:dLbls>
          <c:showVal val="1"/>
        </c:dLbls>
        <c:overlap val="-25"/>
        <c:axId val="112253184"/>
        <c:axId val="112336896"/>
      </c:barChart>
      <c:catAx>
        <c:axId val="112253184"/>
        <c:scaling>
          <c:orientation val="minMax"/>
        </c:scaling>
        <c:axPos val="b"/>
        <c:majorTickMark val="none"/>
        <c:tickLblPos val="nextTo"/>
        <c:crossAx val="112336896"/>
        <c:crosses val="autoZero"/>
        <c:auto val="1"/>
        <c:lblAlgn val="ctr"/>
        <c:lblOffset val="100"/>
      </c:catAx>
      <c:valAx>
        <c:axId val="112336896"/>
        <c:scaling>
          <c:orientation val="minMax"/>
        </c:scaling>
        <c:delete val="1"/>
        <c:axPos val="l"/>
        <c:numFmt formatCode="0%" sourceLinked="1"/>
        <c:tickLblPos val="none"/>
        <c:crossAx val="112253184"/>
        <c:crosses val="autoZero"/>
        <c:crossBetween val="between"/>
      </c:valAx>
    </c:plotArea>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Gemiddelde uitgaven</a:t>
            </a:r>
            <a:r>
              <a:rPr lang="nl-NL" baseline="0"/>
              <a:t> per domein</a:t>
            </a:r>
          </a:p>
          <a:p>
            <a:pPr>
              <a:defRPr/>
            </a:pPr>
            <a:r>
              <a:rPr lang="nl-NL" baseline="0"/>
              <a:t>(n=99)</a:t>
            </a:r>
            <a:endParaRPr lang="nl-NL"/>
          </a:p>
        </c:rich>
      </c:tx>
      <c:layout/>
    </c:title>
    <c:plotArea>
      <c:layout/>
      <c:barChart>
        <c:barDir val="bar"/>
        <c:grouping val="clustered"/>
        <c:ser>
          <c:idx val="0"/>
          <c:order val="0"/>
          <c:tx>
            <c:strRef>
              <c:f>'Q26'!$H$21</c:f>
              <c:strCache>
                <c:ptCount val="1"/>
                <c:pt idx="0">
                  <c:v>gem. omvang intern budget</c:v>
                </c:pt>
              </c:strCache>
            </c:strRef>
          </c:tx>
          <c:cat>
            <c:strRef>
              <c:f>'Q26'!$I$20:$L$20</c:f>
              <c:strCache>
                <c:ptCount val="4"/>
                <c:pt idx="0">
                  <c:v>overig (n=5)</c:v>
                </c:pt>
                <c:pt idx="1">
                  <c:v>musea (n=59)</c:v>
                </c:pt>
                <c:pt idx="2">
                  <c:v>bibliotheken (n=7)</c:v>
                </c:pt>
                <c:pt idx="3">
                  <c:v>archieven (n=28)</c:v>
                </c:pt>
              </c:strCache>
            </c:strRef>
          </c:cat>
          <c:val>
            <c:numRef>
              <c:f>'Q26'!$I$21:$L$21</c:f>
              <c:numCache>
                <c:formatCode>"€"\ #,##0</c:formatCode>
                <c:ptCount val="4"/>
                <c:pt idx="0">
                  <c:v>1580000</c:v>
                </c:pt>
                <c:pt idx="1">
                  <c:v>32601.983050847459</c:v>
                </c:pt>
                <c:pt idx="2">
                  <c:v>59000</c:v>
                </c:pt>
                <c:pt idx="3">
                  <c:v>109664.28571428571</c:v>
                </c:pt>
              </c:numCache>
            </c:numRef>
          </c:val>
        </c:ser>
        <c:ser>
          <c:idx val="1"/>
          <c:order val="1"/>
          <c:tx>
            <c:strRef>
              <c:f>'Q26'!$H$22</c:f>
              <c:strCache>
                <c:ptCount val="1"/>
                <c:pt idx="0">
                  <c:v>gem. omvang projectbudget</c:v>
                </c:pt>
              </c:strCache>
            </c:strRef>
          </c:tx>
          <c:cat>
            <c:strRef>
              <c:f>'Q26'!$I$20:$L$20</c:f>
              <c:strCache>
                <c:ptCount val="4"/>
                <c:pt idx="0">
                  <c:v>overig (n=5)</c:v>
                </c:pt>
                <c:pt idx="1">
                  <c:v>musea (n=59)</c:v>
                </c:pt>
                <c:pt idx="2">
                  <c:v>bibliotheken (n=7)</c:v>
                </c:pt>
                <c:pt idx="3">
                  <c:v>archieven (n=28)</c:v>
                </c:pt>
              </c:strCache>
            </c:strRef>
          </c:cat>
          <c:val>
            <c:numRef>
              <c:f>'Q26'!$I$22:$L$22</c:f>
              <c:numCache>
                <c:formatCode>"€"\ #,##0</c:formatCode>
                <c:ptCount val="4"/>
                <c:pt idx="0">
                  <c:v>1700000</c:v>
                </c:pt>
                <c:pt idx="1">
                  <c:v>33368.42105263158</c:v>
                </c:pt>
                <c:pt idx="2">
                  <c:v>65833.333333333328</c:v>
                </c:pt>
                <c:pt idx="3">
                  <c:v>78307.692307692312</c:v>
                </c:pt>
              </c:numCache>
            </c:numRef>
          </c:val>
        </c:ser>
        <c:ser>
          <c:idx val="2"/>
          <c:order val="2"/>
          <c:tx>
            <c:strRef>
              <c:f>'Q26'!$H$23</c:f>
              <c:strCache>
                <c:ptCount val="1"/>
                <c:pt idx="0">
                  <c:v>totaal budget</c:v>
                </c:pt>
              </c:strCache>
            </c:strRef>
          </c:tx>
          <c:cat>
            <c:strRef>
              <c:f>'Q26'!$I$20:$L$20</c:f>
              <c:strCache>
                <c:ptCount val="4"/>
                <c:pt idx="0">
                  <c:v>overig (n=5)</c:v>
                </c:pt>
                <c:pt idx="1">
                  <c:v>musea (n=59)</c:v>
                </c:pt>
                <c:pt idx="2">
                  <c:v>bibliotheken (n=7)</c:v>
                </c:pt>
                <c:pt idx="3">
                  <c:v>archieven (n=28)</c:v>
                </c:pt>
              </c:strCache>
            </c:strRef>
          </c:cat>
          <c:val>
            <c:numRef>
              <c:f>'Q26'!$I$23:$L$23</c:f>
              <c:numCache>
                <c:formatCode>"€"\ #,##0</c:formatCode>
                <c:ptCount val="4"/>
                <c:pt idx="0">
                  <c:v>3280000</c:v>
                </c:pt>
                <c:pt idx="1">
                  <c:v>65970.404103479043</c:v>
                </c:pt>
                <c:pt idx="2">
                  <c:v>124833.33333333333</c:v>
                </c:pt>
                <c:pt idx="3">
                  <c:v>187971.97802197802</c:v>
                </c:pt>
              </c:numCache>
            </c:numRef>
          </c:val>
        </c:ser>
        <c:dLbls>
          <c:showVal val="1"/>
        </c:dLbls>
        <c:overlap val="-25"/>
        <c:axId val="112371584"/>
        <c:axId val="112373120"/>
      </c:barChart>
      <c:catAx>
        <c:axId val="112371584"/>
        <c:scaling>
          <c:orientation val="minMax"/>
        </c:scaling>
        <c:axPos val="l"/>
        <c:majorTickMark val="none"/>
        <c:tickLblPos val="nextTo"/>
        <c:crossAx val="112373120"/>
        <c:crosses val="autoZero"/>
        <c:auto val="1"/>
        <c:lblAlgn val="ctr"/>
        <c:lblOffset val="100"/>
      </c:catAx>
      <c:valAx>
        <c:axId val="112373120"/>
        <c:scaling>
          <c:orientation val="minMax"/>
        </c:scaling>
        <c:delete val="1"/>
        <c:axPos val="b"/>
        <c:numFmt formatCode="&quot;€&quot;\ #,##0" sourceLinked="1"/>
        <c:majorTickMark val="none"/>
        <c:tickLblPos val="none"/>
        <c:crossAx val="112371584"/>
        <c:crosses val="autoZero"/>
        <c:crossBetween val="between"/>
      </c:valAx>
    </c:plotArea>
    <c:legend>
      <c:legendPos val="t"/>
      <c:layout/>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sz="1800" b="1" i="0" baseline="0"/>
              <a:t>Correlatie gemiddelden budget &amp; fte</a:t>
            </a:r>
          </a:p>
          <a:p>
            <a:pPr>
              <a:defRPr/>
            </a:pPr>
            <a:r>
              <a:rPr lang="en-US" sz="1800" b="1" i="0" baseline="0"/>
              <a:t>(n=131)</a:t>
            </a:r>
            <a:endParaRPr lang="nl-NL"/>
          </a:p>
        </c:rich>
      </c:tx>
    </c:title>
    <c:plotArea>
      <c:layout/>
      <c:barChart>
        <c:barDir val="col"/>
        <c:grouping val="clustered"/>
        <c:ser>
          <c:idx val="0"/>
          <c:order val="0"/>
          <c:tx>
            <c:strRef>
              <c:f>'Q10'!$K$47</c:f>
              <c:strCache>
                <c:ptCount val="1"/>
                <c:pt idx="0">
                  <c:v>aantal fte</c:v>
                </c:pt>
              </c:strCache>
            </c:strRef>
          </c:tx>
          <c:cat>
            <c:strRef>
              <c:f>'Q10'!$J$48:$J$54</c:f>
              <c:strCache>
                <c:ptCount val="7"/>
                <c:pt idx="0">
                  <c:v>&lt;10.000 (n=6)</c:v>
                </c:pt>
                <c:pt idx="1">
                  <c:v>30.000 (n=11)</c:v>
                </c:pt>
                <c:pt idx="2">
                  <c:v>75.000 (n=6)</c:v>
                </c:pt>
                <c:pt idx="3">
                  <c:v>300.000 (n=44)</c:v>
                </c:pt>
                <c:pt idx="4">
                  <c:v>750.000 (n=9)</c:v>
                </c:pt>
                <c:pt idx="5">
                  <c:v>5.000.000 (n=47)</c:v>
                </c:pt>
                <c:pt idx="6">
                  <c:v>&gt;10.000.000 (n=8)</c:v>
                </c:pt>
              </c:strCache>
            </c:strRef>
          </c:cat>
          <c:val>
            <c:numRef>
              <c:f>'Q10'!$K$48:$K$54</c:f>
              <c:numCache>
                <c:formatCode>#,##0.0</c:formatCode>
                <c:ptCount val="7"/>
                <c:pt idx="0">
                  <c:v>0.66666666666666663</c:v>
                </c:pt>
                <c:pt idx="1">
                  <c:v>1.6272727272727272</c:v>
                </c:pt>
                <c:pt idx="2">
                  <c:v>2.3199999999999998</c:v>
                </c:pt>
                <c:pt idx="3">
                  <c:v>3.5820454545454541</c:v>
                </c:pt>
                <c:pt idx="4">
                  <c:v>7.8222222222222229</c:v>
                </c:pt>
                <c:pt idx="5">
                  <c:v>40.447021276595741</c:v>
                </c:pt>
                <c:pt idx="6">
                  <c:v>119.25</c:v>
                </c:pt>
              </c:numCache>
            </c:numRef>
          </c:val>
        </c:ser>
        <c:dLbls>
          <c:showVal val="1"/>
        </c:dLbls>
        <c:overlap val="-25"/>
        <c:axId val="108367232"/>
        <c:axId val="108377216"/>
      </c:barChart>
      <c:catAx>
        <c:axId val="108367232"/>
        <c:scaling>
          <c:orientation val="minMax"/>
        </c:scaling>
        <c:axPos val="b"/>
        <c:majorTickMark val="none"/>
        <c:tickLblPos val="nextTo"/>
        <c:crossAx val="108377216"/>
        <c:crosses val="autoZero"/>
        <c:auto val="1"/>
        <c:lblAlgn val="ctr"/>
        <c:lblOffset val="100"/>
      </c:catAx>
      <c:valAx>
        <c:axId val="108377216"/>
        <c:scaling>
          <c:orientation val="minMax"/>
        </c:scaling>
        <c:delete val="1"/>
        <c:axPos val="l"/>
        <c:numFmt formatCode="#,##0.0" sourceLinked="1"/>
        <c:majorTickMark val="none"/>
        <c:tickLblPos val="none"/>
        <c:crossAx val="108367232"/>
        <c:crosses val="autoZero"/>
        <c:crossBetween val="between"/>
      </c:valAx>
    </c:plotArea>
    <c:legend>
      <c:legendPos val="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Beschikbaarheid budgetten voor digitale collecties per domein </a:t>
            </a:r>
            <a:endParaRPr lang="nl-NL"/>
          </a:p>
          <a:p>
            <a:pPr>
              <a:defRPr/>
            </a:pPr>
            <a:r>
              <a:rPr lang="nl-NL" sz="1800" b="1" i="0" baseline="0"/>
              <a:t>(n=85)</a:t>
            </a:r>
          </a:p>
        </c:rich>
      </c:tx>
      <c:layout/>
    </c:title>
    <c:plotArea>
      <c:layout/>
      <c:barChart>
        <c:barDir val="col"/>
        <c:grouping val="clustered"/>
        <c:ser>
          <c:idx val="0"/>
          <c:order val="0"/>
          <c:tx>
            <c:strRef>
              <c:f>'Q26'!$H$33</c:f>
              <c:strCache>
                <c:ptCount val="1"/>
                <c:pt idx="0">
                  <c:v>beschikbaarheid intern budget</c:v>
                </c:pt>
              </c:strCache>
            </c:strRef>
          </c:tx>
          <c:cat>
            <c:strRef>
              <c:f>'Q26'!$I$32:$L$32</c:f>
              <c:strCache>
                <c:ptCount val="4"/>
                <c:pt idx="0">
                  <c:v>archieven (n=25)</c:v>
                </c:pt>
                <c:pt idx="1">
                  <c:v>bibliotheken (n=7)</c:v>
                </c:pt>
                <c:pt idx="2">
                  <c:v>musea (n=49)</c:v>
                </c:pt>
                <c:pt idx="3">
                  <c:v>overig (n=4)</c:v>
                </c:pt>
              </c:strCache>
            </c:strRef>
          </c:cat>
          <c:val>
            <c:numRef>
              <c:f>'Q26'!$I$33:$L$33</c:f>
              <c:numCache>
                <c:formatCode>0%</c:formatCode>
                <c:ptCount val="4"/>
                <c:pt idx="0">
                  <c:v>1</c:v>
                </c:pt>
                <c:pt idx="1">
                  <c:v>1</c:v>
                </c:pt>
                <c:pt idx="2">
                  <c:v>0.97959183673469385</c:v>
                </c:pt>
                <c:pt idx="3">
                  <c:v>1</c:v>
                </c:pt>
              </c:numCache>
            </c:numRef>
          </c:val>
        </c:ser>
        <c:ser>
          <c:idx val="1"/>
          <c:order val="1"/>
          <c:tx>
            <c:strRef>
              <c:f>'Q26'!$H$34</c:f>
              <c:strCache>
                <c:ptCount val="1"/>
                <c:pt idx="0">
                  <c:v>beschikbaarheid projectbudget</c:v>
                </c:pt>
              </c:strCache>
            </c:strRef>
          </c:tx>
          <c:cat>
            <c:strRef>
              <c:f>'Q26'!$I$32:$L$32</c:f>
              <c:strCache>
                <c:ptCount val="4"/>
                <c:pt idx="0">
                  <c:v>archieven (n=25)</c:v>
                </c:pt>
                <c:pt idx="1">
                  <c:v>bibliotheken (n=7)</c:v>
                </c:pt>
                <c:pt idx="2">
                  <c:v>musea (n=49)</c:v>
                </c:pt>
                <c:pt idx="3">
                  <c:v>overig (n=4)</c:v>
                </c:pt>
              </c:strCache>
            </c:strRef>
          </c:cat>
          <c:val>
            <c:numRef>
              <c:f>'Q26'!$I$34:$L$34</c:f>
              <c:numCache>
                <c:formatCode>0%</c:formatCode>
                <c:ptCount val="4"/>
                <c:pt idx="0">
                  <c:v>0.52</c:v>
                </c:pt>
                <c:pt idx="1">
                  <c:v>0.8571428571428571</c:v>
                </c:pt>
                <c:pt idx="2">
                  <c:v>0.38775510204081631</c:v>
                </c:pt>
                <c:pt idx="3">
                  <c:v>1</c:v>
                </c:pt>
              </c:numCache>
            </c:numRef>
          </c:val>
        </c:ser>
        <c:dLbls>
          <c:showVal val="1"/>
        </c:dLbls>
        <c:overlap val="-25"/>
        <c:axId val="112411392"/>
        <c:axId val="112412928"/>
      </c:barChart>
      <c:catAx>
        <c:axId val="112411392"/>
        <c:scaling>
          <c:orientation val="minMax"/>
        </c:scaling>
        <c:axPos val="b"/>
        <c:majorTickMark val="none"/>
        <c:tickLblPos val="nextTo"/>
        <c:crossAx val="112412928"/>
        <c:crosses val="autoZero"/>
        <c:auto val="1"/>
        <c:lblAlgn val="ctr"/>
        <c:lblOffset val="100"/>
      </c:catAx>
      <c:valAx>
        <c:axId val="112412928"/>
        <c:scaling>
          <c:orientation val="minMax"/>
        </c:scaling>
        <c:delete val="1"/>
        <c:axPos val="l"/>
        <c:numFmt formatCode="0%" sourceLinked="1"/>
        <c:tickLblPos val="none"/>
        <c:crossAx val="112411392"/>
        <c:crosses val="autoZero"/>
        <c:crossBetween val="between"/>
      </c:valAx>
    </c:plotArea>
    <c:legend>
      <c:legendPos val="t"/>
      <c:layout/>
    </c:legend>
    <c:plotVisOnly val="1"/>
    <c:dispBlanksAs val="gap"/>
  </c:chart>
  <c:printSettings>
    <c:headerFooter/>
    <c:pageMargins b="0.75000000000000155" l="0.70000000000000062" r="0.70000000000000062" t="0.75000000000000155"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Verhouding incidentele/structurele kosten (n=97)</a:t>
            </a:r>
          </a:p>
        </c:rich>
      </c:tx>
      <c:layout/>
    </c:title>
    <c:plotArea>
      <c:layout/>
      <c:pieChart>
        <c:varyColors val="1"/>
        <c:ser>
          <c:idx val="0"/>
          <c:order val="0"/>
          <c:dLbls>
            <c:showPercent val="1"/>
            <c:showLeaderLines val="1"/>
          </c:dLbls>
          <c:cat>
            <c:strRef>
              <c:f>'Q27&amp;Q28'!$G$6:$G$7</c:f>
              <c:strCache>
                <c:ptCount val="2"/>
                <c:pt idx="0">
                  <c:v>Gem. % incidentele kosten</c:v>
                </c:pt>
                <c:pt idx="1">
                  <c:v>Gem. % structurele kosten</c:v>
                </c:pt>
              </c:strCache>
            </c:strRef>
          </c:cat>
          <c:val>
            <c:numRef>
              <c:f>'Q27&amp;Q28'!$H$6:$H$7</c:f>
              <c:numCache>
                <c:formatCode>0</c:formatCode>
                <c:ptCount val="2"/>
                <c:pt idx="0">
                  <c:v>43.268041237113401</c:v>
                </c:pt>
                <c:pt idx="1">
                  <c:v>56.731958762886599</c:v>
                </c:pt>
              </c:numCache>
            </c:numRef>
          </c:val>
        </c:ser>
        <c:dLbls>
          <c:showPercent val="1"/>
        </c:dLbls>
        <c:firstSliceAng val="0"/>
      </c:pieChart>
    </c:plotArea>
    <c:legend>
      <c:legendPos val="t"/>
      <c:layout/>
    </c:legend>
    <c:plotVisOnly val="1"/>
    <c:dispBlanksAs val="zero"/>
  </c:chart>
  <c:printSettings>
    <c:headerFooter/>
    <c:pageMargins b="0.75000000000000144" l="0.70000000000000062" r="0.70000000000000062" t="0.75000000000000144"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Verhouding interne/externe kosten </a:t>
            </a:r>
          </a:p>
          <a:p>
            <a:pPr>
              <a:defRPr/>
            </a:pPr>
            <a:r>
              <a:rPr lang="nl-NL"/>
              <a:t>(n=97)</a:t>
            </a:r>
          </a:p>
        </c:rich>
      </c:tx>
      <c:layout/>
    </c:title>
    <c:plotArea>
      <c:layout/>
      <c:pieChart>
        <c:varyColors val="1"/>
        <c:ser>
          <c:idx val="0"/>
          <c:order val="0"/>
          <c:dLbls>
            <c:showPercent val="1"/>
            <c:showLeaderLines val="1"/>
          </c:dLbls>
          <c:cat>
            <c:strRef>
              <c:f>'Q27&amp;Q28'!$G$9:$G$10</c:f>
              <c:strCache>
                <c:ptCount val="2"/>
                <c:pt idx="0">
                  <c:v>Gem. % interne kosten</c:v>
                </c:pt>
                <c:pt idx="1">
                  <c:v>Gem. % externe kosten</c:v>
                </c:pt>
              </c:strCache>
            </c:strRef>
          </c:cat>
          <c:val>
            <c:numRef>
              <c:f>'Q27&amp;Q28'!$H$9:$H$10</c:f>
              <c:numCache>
                <c:formatCode>0</c:formatCode>
                <c:ptCount val="2"/>
                <c:pt idx="0">
                  <c:v>66.948453608247419</c:v>
                </c:pt>
                <c:pt idx="1">
                  <c:v>32.020618556701031</c:v>
                </c:pt>
              </c:numCache>
            </c:numRef>
          </c:val>
        </c:ser>
        <c:dLbls>
          <c:showPercent val="1"/>
        </c:dLbls>
        <c:firstSliceAng val="0"/>
      </c:pieChart>
    </c:plotArea>
    <c:legend>
      <c:legendPos val="t"/>
      <c:layout/>
    </c:legend>
    <c:plotVisOnly val="1"/>
    <c:dispBlanksAs val="zero"/>
  </c:chart>
  <c:printSettings>
    <c:headerFooter/>
    <c:pageMargins b="0.75000000000000144" l="0.70000000000000062" r="0.70000000000000062" t="0.75000000000000144"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Verhouding incidentele/structurele kosten per domein (n=97)</a:t>
            </a:r>
            <a:endParaRPr lang="nl-NL"/>
          </a:p>
        </c:rich>
      </c:tx>
      <c:layout/>
    </c:title>
    <c:plotArea>
      <c:layout/>
      <c:barChart>
        <c:barDir val="col"/>
        <c:grouping val="clustered"/>
        <c:ser>
          <c:idx val="0"/>
          <c:order val="0"/>
          <c:tx>
            <c:strRef>
              <c:f>'Q27&amp;Q28'!$G$14</c:f>
              <c:strCache>
                <c:ptCount val="1"/>
                <c:pt idx="0">
                  <c:v>Gem. % incidentele kosten</c:v>
                </c:pt>
              </c:strCache>
            </c:strRef>
          </c:tx>
          <c:cat>
            <c:strRef>
              <c:f>'Q27&amp;Q28'!$H$13:$K$13</c:f>
              <c:strCache>
                <c:ptCount val="4"/>
                <c:pt idx="0">
                  <c:v>archieven (n=28)</c:v>
                </c:pt>
                <c:pt idx="1">
                  <c:v>bibliotheken (n=7)</c:v>
                </c:pt>
                <c:pt idx="2">
                  <c:v>musea (n=57)</c:v>
                </c:pt>
                <c:pt idx="3">
                  <c:v>overig (n=5)</c:v>
                </c:pt>
              </c:strCache>
            </c:strRef>
          </c:cat>
          <c:val>
            <c:numRef>
              <c:f>'Q27&amp;Q28'!$H$14:$K$14</c:f>
              <c:numCache>
                <c:formatCode>0.0</c:formatCode>
                <c:ptCount val="4"/>
                <c:pt idx="0">
                  <c:v>47.5</c:v>
                </c:pt>
                <c:pt idx="1">
                  <c:v>60.714285714285715</c:v>
                </c:pt>
                <c:pt idx="2">
                  <c:v>38.192982456140349</c:v>
                </c:pt>
                <c:pt idx="3">
                  <c:v>53</c:v>
                </c:pt>
              </c:numCache>
            </c:numRef>
          </c:val>
        </c:ser>
        <c:ser>
          <c:idx val="1"/>
          <c:order val="1"/>
          <c:tx>
            <c:strRef>
              <c:f>'Q27&amp;Q28'!$G$15</c:f>
              <c:strCache>
                <c:ptCount val="1"/>
                <c:pt idx="0">
                  <c:v>Gem. % structurele kosten</c:v>
                </c:pt>
              </c:strCache>
            </c:strRef>
          </c:tx>
          <c:cat>
            <c:strRef>
              <c:f>'Q27&amp;Q28'!$H$13:$K$13</c:f>
              <c:strCache>
                <c:ptCount val="4"/>
                <c:pt idx="0">
                  <c:v>archieven (n=28)</c:v>
                </c:pt>
                <c:pt idx="1">
                  <c:v>bibliotheken (n=7)</c:v>
                </c:pt>
                <c:pt idx="2">
                  <c:v>musea (n=57)</c:v>
                </c:pt>
                <c:pt idx="3">
                  <c:v>overig (n=5)</c:v>
                </c:pt>
              </c:strCache>
            </c:strRef>
          </c:cat>
          <c:val>
            <c:numRef>
              <c:f>'Q27&amp;Q28'!$H$15:$K$15</c:f>
              <c:numCache>
                <c:formatCode>0.0</c:formatCode>
                <c:ptCount val="4"/>
                <c:pt idx="0">
                  <c:v>52.5</c:v>
                </c:pt>
                <c:pt idx="1">
                  <c:v>39.285714285714285</c:v>
                </c:pt>
                <c:pt idx="2">
                  <c:v>61.807017543859651</c:v>
                </c:pt>
                <c:pt idx="3">
                  <c:v>47</c:v>
                </c:pt>
              </c:numCache>
            </c:numRef>
          </c:val>
        </c:ser>
        <c:dLbls>
          <c:showVal val="1"/>
        </c:dLbls>
        <c:overlap val="-25"/>
        <c:axId val="112575232"/>
        <c:axId val="112576768"/>
      </c:barChart>
      <c:catAx>
        <c:axId val="112575232"/>
        <c:scaling>
          <c:orientation val="minMax"/>
        </c:scaling>
        <c:axPos val="b"/>
        <c:majorTickMark val="none"/>
        <c:tickLblPos val="nextTo"/>
        <c:crossAx val="112576768"/>
        <c:crosses val="autoZero"/>
        <c:auto val="1"/>
        <c:lblAlgn val="ctr"/>
        <c:lblOffset val="100"/>
      </c:catAx>
      <c:valAx>
        <c:axId val="112576768"/>
        <c:scaling>
          <c:orientation val="minMax"/>
        </c:scaling>
        <c:delete val="1"/>
        <c:axPos val="l"/>
        <c:numFmt formatCode="0.0" sourceLinked="1"/>
        <c:tickLblPos val="none"/>
        <c:crossAx val="112575232"/>
        <c:crosses val="autoZero"/>
        <c:crossBetween val="between"/>
      </c:valAx>
    </c:plotArea>
    <c:legend>
      <c:legendPos val="t"/>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Verhouding interne/externe kosten per domein (n=97)</a:t>
            </a:r>
          </a:p>
        </c:rich>
      </c:tx>
    </c:title>
    <c:plotArea>
      <c:layout/>
      <c:barChart>
        <c:barDir val="col"/>
        <c:grouping val="clustered"/>
        <c:ser>
          <c:idx val="0"/>
          <c:order val="0"/>
          <c:tx>
            <c:strRef>
              <c:f>'Q27&amp;Q28'!$G$20</c:f>
              <c:strCache>
                <c:ptCount val="1"/>
                <c:pt idx="0">
                  <c:v>Gem. % interne kosten</c:v>
                </c:pt>
              </c:strCache>
            </c:strRef>
          </c:tx>
          <c:cat>
            <c:strRef>
              <c:f>'Q27&amp;Q28'!$H$19:$K$19</c:f>
              <c:strCache>
                <c:ptCount val="4"/>
                <c:pt idx="0">
                  <c:v>archieven (n=28)</c:v>
                </c:pt>
                <c:pt idx="1">
                  <c:v>bibliotheken (n=7)</c:v>
                </c:pt>
                <c:pt idx="2">
                  <c:v>musea (n=57)</c:v>
                </c:pt>
                <c:pt idx="3">
                  <c:v>overig (n=5)</c:v>
                </c:pt>
              </c:strCache>
            </c:strRef>
          </c:cat>
          <c:val>
            <c:numRef>
              <c:f>'Q27&amp;Q28'!$H$20:$K$20</c:f>
              <c:numCache>
                <c:formatCode>0.0</c:formatCode>
                <c:ptCount val="4"/>
                <c:pt idx="0">
                  <c:v>49.107142857142854</c:v>
                </c:pt>
                <c:pt idx="1">
                  <c:v>67.142857142857139</c:v>
                </c:pt>
                <c:pt idx="2">
                  <c:v>76.946428571428569</c:v>
                </c:pt>
                <c:pt idx="3">
                  <c:v>68</c:v>
                </c:pt>
              </c:numCache>
            </c:numRef>
          </c:val>
        </c:ser>
        <c:ser>
          <c:idx val="1"/>
          <c:order val="1"/>
          <c:tx>
            <c:strRef>
              <c:f>'Q27&amp;Q28'!$G$21</c:f>
              <c:strCache>
                <c:ptCount val="1"/>
                <c:pt idx="0">
                  <c:v>Gem. % externe kosten</c:v>
                </c:pt>
              </c:strCache>
            </c:strRef>
          </c:tx>
          <c:cat>
            <c:strRef>
              <c:f>'Q27&amp;Q28'!$H$19:$K$19</c:f>
              <c:strCache>
                <c:ptCount val="4"/>
                <c:pt idx="0">
                  <c:v>archieven (n=28)</c:v>
                </c:pt>
                <c:pt idx="1">
                  <c:v>bibliotheken (n=7)</c:v>
                </c:pt>
                <c:pt idx="2">
                  <c:v>musea (n=57)</c:v>
                </c:pt>
                <c:pt idx="3">
                  <c:v>overig (n=5)</c:v>
                </c:pt>
              </c:strCache>
            </c:strRef>
          </c:cat>
          <c:val>
            <c:numRef>
              <c:f>'Q27&amp;Q28'!$H$21:$K$21</c:f>
              <c:numCache>
                <c:formatCode>0.0</c:formatCode>
                <c:ptCount val="4"/>
                <c:pt idx="0">
                  <c:v>50.892857142857146</c:v>
                </c:pt>
                <c:pt idx="1">
                  <c:v>32.857142857142854</c:v>
                </c:pt>
                <c:pt idx="2">
                  <c:v>23.053571428571427</c:v>
                </c:pt>
                <c:pt idx="3">
                  <c:v>32</c:v>
                </c:pt>
              </c:numCache>
            </c:numRef>
          </c:val>
        </c:ser>
        <c:dLbls>
          <c:showVal val="1"/>
        </c:dLbls>
        <c:overlap val="-25"/>
        <c:axId val="112606592"/>
        <c:axId val="112620672"/>
      </c:barChart>
      <c:catAx>
        <c:axId val="112606592"/>
        <c:scaling>
          <c:orientation val="minMax"/>
        </c:scaling>
        <c:axPos val="b"/>
        <c:majorTickMark val="none"/>
        <c:tickLblPos val="nextTo"/>
        <c:crossAx val="112620672"/>
        <c:crosses val="autoZero"/>
        <c:auto val="1"/>
        <c:lblAlgn val="ctr"/>
        <c:lblOffset val="100"/>
      </c:catAx>
      <c:valAx>
        <c:axId val="112620672"/>
        <c:scaling>
          <c:orientation val="minMax"/>
        </c:scaling>
        <c:delete val="1"/>
        <c:axPos val="l"/>
        <c:numFmt formatCode="0.0" sourceLinked="1"/>
        <c:tickLblPos val="none"/>
        <c:crossAx val="112606592"/>
        <c:crosses val="autoZero"/>
        <c:crossBetween val="between"/>
      </c:valAx>
    </c:plotArea>
    <c:legend>
      <c:legendPos val="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Verdeling incidentele kosten (n=23)</a:t>
            </a:r>
          </a:p>
        </c:rich>
      </c:tx>
      <c:layout/>
    </c:title>
    <c:plotArea>
      <c:layout/>
      <c:pieChart>
        <c:varyColors val="1"/>
        <c:ser>
          <c:idx val="0"/>
          <c:order val="0"/>
          <c:dLbls>
            <c:showPercent val="1"/>
            <c:showLeaderLines val="1"/>
          </c:dLbls>
          <c:cat>
            <c:strRef>
              <c:f>Q27a!$N$7:$N$15</c:f>
              <c:strCache>
                <c:ptCount val="9"/>
                <c:pt idx="0">
                  <c:v>Conversie analoog naar digitaal</c:v>
                </c:pt>
                <c:pt idx="1">
                  <c:v>Metadata vervaardigen</c:v>
                </c:pt>
                <c:pt idx="2">
                  <c:v>Web design, softwareontwikkeling</c:v>
                </c:pt>
                <c:pt idx="3">
                  <c:v>Selectie t.b.v digitalisering</c:v>
                </c:pt>
                <c:pt idx="4">
                  <c:v>Projectmanagement</c:v>
                </c:pt>
                <c:pt idx="5">
                  <c:v>Logistiek (transport e.d.)</c:v>
                </c:pt>
                <c:pt idx="6">
                  <c:v>Acquisitie born digital</c:v>
                </c:pt>
                <c:pt idx="7">
                  <c:v>Overige kosten</c:v>
                </c:pt>
                <c:pt idx="8">
                  <c:v>Copyright regelingen</c:v>
                </c:pt>
              </c:strCache>
            </c:strRef>
          </c:cat>
          <c:val>
            <c:numRef>
              <c:f>Q27a!$O$7:$O$15</c:f>
              <c:numCache>
                <c:formatCode>0.0</c:formatCode>
                <c:ptCount val="9"/>
                <c:pt idx="0">
                  <c:v>32.299999999999997</c:v>
                </c:pt>
                <c:pt idx="1">
                  <c:v>22.7</c:v>
                </c:pt>
                <c:pt idx="2">
                  <c:v>13.7</c:v>
                </c:pt>
                <c:pt idx="3">
                  <c:v>10.1</c:v>
                </c:pt>
                <c:pt idx="4">
                  <c:v>8.6999999999999993</c:v>
                </c:pt>
                <c:pt idx="5">
                  <c:v>4.0999999999999996</c:v>
                </c:pt>
                <c:pt idx="6">
                  <c:v>3.3</c:v>
                </c:pt>
                <c:pt idx="7">
                  <c:v>2.9</c:v>
                </c:pt>
                <c:pt idx="8">
                  <c:v>2.2000000000000002</c:v>
                </c:pt>
              </c:numCache>
            </c:numRef>
          </c:val>
        </c:ser>
        <c:dLbls>
          <c:showPercent val="1"/>
        </c:dLbls>
        <c:firstSliceAng val="0"/>
      </c:pieChart>
    </c:plotArea>
    <c:legend>
      <c:legendPos val="t"/>
      <c:layout/>
    </c:legend>
    <c:plotVisOnly val="1"/>
    <c:dispBlanksAs val="zero"/>
  </c:chart>
  <c:printSettings>
    <c:headerFooter/>
    <c:pageMargins b="0.75000000000000144" l="0.70000000000000062" r="0.70000000000000062" t="0.75000000000000144"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nl-NL"/>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nl-NL" sz="1800" b="1" i="0" baseline="0"/>
              <a:t>Verdeling structurele kosten (n=23)</a:t>
            </a:r>
            <a:endParaRPr lang="nl-NL"/>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nl-NL"/>
          </a:p>
        </c:rich>
      </c:tx>
    </c:title>
    <c:plotArea>
      <c:layout/>
      <c:pieChart>
        <c:varyColors val="1"/>
        <c:ser>
          <c:idx val="0"/>
          <c:order val="0"/>
          <c:dLbls>
            <c:showPercent val="1"/>
            <c:showLeaderLines val="1"/>
          </c:dLbls>
          <c:cat>
            <c:strRef>
              <c:f>Q27a!$N$34:$N$42</c:f>
              <c:strCache>
                <c:ptCount val="9"/>
                <c:pt idx="0">
                  <c:v>Beheer</c:v>
                </c:pt>
                <c:pt idx="1">
                  <c:v>Redactiewerkzaamheden</c:v>
                </c:pt>
                <c:pt idx="2">
                  <c:v>Archivering (incl. opslag)</c:v>
                </c:pt>
                <c:pt idx="3">
                  <c:v>Communicatie/gebruikersondersteuning</c:v>
                </c:pt>
                <c:pt idx="4">
                  <c:v>Onderhoud servers en diensten</c:v>
                </c:pt>
                <c:pt idx="5">
                  <c:v>Licenties</c:v>
                </c:pt>
                <c:pt idx="6">
                  <c:v>Preservering (onderzoek en activiteiten)</c:v>
                </c:pt>
                <c:pt idx="7">
                  <c:v>Gebruikersonderzoek (incl. statistieken)</c:v>
                </c:pt>
                <c:pt idx="8">
                  <c:v>Overige kosten</c:v>
                </c:pt>
              </c:strCache>
            </c:strRef>
          </c:cat>
          <c:val>
            <c:numRef>
              <c:f>Q27a!$O$34:$O$42</c:f>
              <c:numCache>
                <c:formatCode>0.0</c:formatCode>
                <c:ptCount val="9"/>
                <c:pt idx="0">
                  <c:v>25.6</c:v>
                </c:pt>
                <c:pt idx="1">
                  <c:v>18.100000000000001</c:v>
                </c:pt>
                <c:pt idx="2">
                  <c:v>16.899999999999999</c:v>
                </c:pt>
                <c:pt idx="3">
                  <c:v>13.9</c:v>
                </c:pt>
                <c:pt idx="4">
                  <c:v>8.1999999999999993</c:v>
                </c:pt>
                <c:pt idx="5">
                  <c:v>6.8</c:v>
                </c:pt>
                <c:pt idx="6">
                  <c:v>5.3</c:v>
                </c:pt>
                <c:pt idx="7">
                  <c:v>4.9000000000000004</c:v>
                </c:pt>
                <c:pt idx="8">
                  <c:v>0.4</c:v>
                </c:pt>
              </c:numCache>
            </c:numRef>
          </c:val>
        </c:ser>
        <c:dLbls>
          <c:showPercent val="1"/>
        </c:dLbls>
        <c:firstSliceAng val="0"/>
      </c:pieChart>
    </c:plotArea>
    <c:legend>
      <c:legendPos val="t"/>
    </c:legend>
    <c:plotVisOnly val="1"/>
    <c:dispBlanksAs val="zero"/>
  </c:chart>
  <c:printSettings>
    <c:headerFooter/>
    <c:pageMargins b="0.75000000000000144" l="0.70000000000000062" r="0.70000000000000062" t="0.75000000000000144"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a:t>Betaald personeel</a:t>
            </a:r>
            <a:r>
              <a:rPr lang="en-US" baseline="0"/>
              <a:t> </a:t>
            </a:r>
            <a:r>
              <a:rPr lang="en-US"/>
              <a:t>betrokken bij digitale collecties (gemiddeld aantal fte op jaarbasis) (n=94)</a:t>
            </a:r>
          </a:p>
        </c:rich>
      </c:tx>
      <c:layout/>
    </c:title>
    <c:plotArea>
      <c:layout/>
      <c:barChart>
        <c:barDir val="col"/>
        <c:grouping val="clustered"/>
        <c:ser>
          <c:idx val="0"/>
          <c:order val="0"/>
          <c:tx>
            <c:strRef>
              <c:f>'Q29&amp;Q30'!$E$13</c:f>
              <c:strCache>
                <c:ptCount val="1"/>
                <c:pt idx="0">
                  <c:v>Gem. aantal fte</c:v>
                </c:pt>
              </c:strCache>
            </c:strRef>
          </c:tx>
          <c:dPt>
            <c:idx val="4"/>
            <c:spPr>
              <a:solidFill>
                <a:srgbClr val="C00000"/>
              </a:solidFill>
            </c:spPr>
          </c:dPt>
          <c:dPt>
            <c:idx val="5"/>
            <c:spPr>
              <a:solidFill>
                <a:srgbClr val="C00000"/>
              </a:solidFill>
            </c:spPr>
          </c:dPt>
          <c:cat>
            <c:strRef>
              <c:f>'Q29&amp;Q30'!$F$12:$K$12</c:f>
              <c:strCache>
                <c:ptCount val="6"/>
                <c:pt idx="0">
                  <c:v>archieven (n=28)</c:v>
                </c:pt>
                <c:pt idx="1">
                  <c:v>bibliotheken (n=6)</c:v>
                </c:pt>
                <c:pt idx="2">
                  <c:v>musea (n=55)</c:v>
                </c:pt>
                <c:pt idx="3">
                  <c:v>overig (n=5)</c:v>
                </c:pt>
                <c:pt idx="4">
                  <c:v>gemiddelde</c:v>
                </c:pt>
                <c:pt idx="5">
                  <c:v>mediaan </c:v>
                </c:pt>
              </c:strCache>
            </c:strRef>
          </c:cat>
          <c:val>
            <c:numRef>
              <c:f>'Q29&amp;Q30'!$F$13:$K$13</c:f>
              <c:numCache>
                <c:formatCode>0.0</c:formatCode>
                <c:ptCount val="6"/>
                <c:pt idx="0">
                  <c:v>4.7946428571428568</c:v>
                </c:pt>
                <c:pt idx="1">
                  <c:v>2.7833333333333332</c:v>
                </c:pt>
                <c:pt idx="2">
                  <c:v>2.3580000000000001</c:v>
                </c:pt>
                <c:pt idx="3">
                  <c:v>27</c:v>
                </c:pt>
                <c:pt idx="4" formatCode="General">
                  <c:v>4.4000000000000004</c:v>
                </c:pt>
                <c:pt idx="5" formatCode="General">
                  <c:v>1</c:v>
                </c:pt>
              </c:numCache>
            </c:numRef>
          </c:val>
        </c:ser>
        <c:dLbls>
          <c:showVal val="1"/>
        </c:dLbls>
        <c:overlap val="-25"/>
        <c:axId val="112774528"/>
        <c:axId val="112780416"/>
      </c:barChart>
      <c:catAx>
        <c:axId val="112774528"/>
        <c:scaling>
          <c:orientation val="minMax"/>
        </c:scaling>
        <c:axPos val="b"/>
        <c:majorTickMark val="none"/>
        <c:tickLblPos val="nextTo"/>
        <c:crossAx val="112780416"/>
        <c:crosses val="autoZero"/>
        <c:auto val="1"/>
        <c:lblAlgn val="ctr"/>
        <c:lblOffset val="100"/>
      </c:catAx>
      <c:valAx>
        <c:axId val="112780416"/>
        <c:scaling>
          <c:orientation val="minMax"/>
        </c:scaling>
        <c:delete val="1"/>
        <c:axPos val="l"/>
        <c:numFmt formatCode="0.0" sourceLinked="1"/>
        <c:tickLblPos val="none"/>
        <c:crossAx val="112774528"/>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sz="1800" b="1" i="0" baseline="0"/>
              <a:t>Vrijwilligers betrokken bij digitale collecties (gemiddeld aantal fte op jaarbasis) (n=94)</a:t>
            </a:r>
            <a:endParaRPr lang="nl-NL"/>
          </a:p>
        </c:rich>
      </c:tx>
      <c:layout/>
    </c:title>
    <c:plotArea>
      <c:layout/>
      <c:barChart>
        <c:barDir val="col"/>
        <c:grouping val="clustered"/>
        <c:ser>
          <c:idx val="0"/>
          <c:order val="0"/>
          <c:tx>
            <c:strRef>
              <c:f>'Q29&amp;Q30'!$Q$12</c:f>
              <c:strCache>
                <c:ptCount val="1"/>
                <c:pt idx="0">
                  <c:v>Gem. aantal fte</c:v>
                </c:pt>
              </c:strCache>
            </c:strRef>
          </c:tx>
          <c:dPt>
            <c:idx val="4"/>
            <c:spPr>
              <a:solidFill>
                <a:srgbClr val="C00000"/>
              </a:solidFill>
            </c:spPr>
          </c:dPt>
          <c:dPt>
            <c:idx val="5"/>
            <c:spPr>
              <a:solidFill>
                <a:srgbClr val="C00000"/>
              </a:solidFill>
            </c:spPr>
          </c:dPt>
          <c:cat>
            <c:strRef>
              <c:f>'Q29&amp;Q30'!$R$11:$W$11</c:f>
              <c:strCache>
                <c:ptCount val="6"/>
                <c:pt idx="0">
                  <c:v>archieven (n=28)</c:v>
                </c:pt>
                <c:pt idx="1">
                  <c:v>bibliotheken (n=6)</c:v>
                </c:pt>
                <c:pt idx="2">
                  <c:v>musea (n=55)</c:v>
                </c:pt>
                <c:pt idx="3">
                  <c:v>overig (n=5)</c:v>
                </c:pt>
                <c:pt idx="4">
                  <c:v>gemiddelde</c:v>
                </c:pt>
                <c:pt idx="5">
                  <c:v>mediaan </c:v>
                </c:pt>
              </c:strCache>
            </c:strRef>
          </c:cat>
          <c:val>
            <c:numRef>
              <c:f>'Q29&amp;Q30'!$R$12:$W$12</c:f>
              <c:numCache>
                <c:formatCode>0.0</c:formatCode>
                <c:ptCount val="6"/>
                <c:pt idx="0">
                  <c:v>18.571428571428573</c:v>
                </c:pt>
                <c:pt idx="1">
                  <c:v>0.68333333333333324</c:v>
                </c:pt>
                <c:pt idx="2">
                  <c:v>3.3609090909090908</c:v>
                </c:pt>
                <c:pt idx="3">
                  <c:v>1.6</c:v>
                </c:pt>
                <c:pt idx="4" formatCode="General">
                  <c:v>7.6</c:v>
                </c:pt>
                <c:pt idx="5" formatCode="General">
                  <c:v>1</c:v>
                </c:pt>
              </c:numCache>
            </c:numRef>
          </c:val>
        </c:ser>
        <c:dLbls>
          <c:showVal val="1"/>
        </c:dLbls>
        <c:overlap val="-25"/>
        <c:axId val="112879104"/>
        <c:axId val="112880640"/>
      </c:barChart>
      <c:catAx>
        <c:axId val="112879104"/>
        <c:scaling>
          <c:orientation val="minMax"/>
        </c:scaling>
        <c:axPos val="b"/>
        <c:majorTickMark val="none"/>
        <c:tickLblPos val="nextTo"/>
        <c:crossAx val="112880640"/>
        <c:crosses val="autoZero"/>
        <c:auto val="1"/>
        <c:lblAlgn val="ctr"/>
        <c:lblOffset val="100"/>
      </c:catAx>
      <c:valAx>
        <c:axId val="112880640"/>
        <c:scaling>
          <c:orientation val="minMax"/>
        </c:scaling>
        <c:delete val="1"/>
        <c:axPos val="l"/>
        <c:numFmt formatCode="0.0" sourceLinked="1"/>
        <c:tickLblPos val="none"/>
        <c:crossAx val="112879104"/>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Betrokkenheid betaald personeel en vrijwilligers</a:t>
            </a:r>
            <a:r>
              <a:rPr lang="nl-NL" baseline="0"/>
              <a:t> bij digitale collecties (n=94)</a:t>
            </a:r>
            <a:endParaRPr lang="nl-NL"/>
          </a:p>
        </c:rich>
      </c:tx>
    </c:title>
    <c:plotArea>
      <c:layout/>
      <c:barChart>
        <c:barDir val="col"/>
        <c:grouping val="clustered"/>
        <c:ser>
          <c:idx val="0"/>
          <c:order val="0"/>
          <c:tx>
            <c:strRef>
              <c:f>'Q29&amp;Q30'!$Q$38</c:f>
              <c:strCache>
                <c:ptCount val="1"/>
                <c:pt idx="0">
                  <c:v>Betaald personeel</c:v>
                </c:pt>
              </c:strCache>
            </c:strRef>
          </c:tx>
          <c:cat>
            <c:strRef>
              <c:f>'Q29&amp;Q30'!$R$37:$W$37</c:f>
              <c:strCache>
                <c:ptCount val="6"/>
                <c:pt idx="0">
                  <c:v>archieven (n=28)</c:v>
                </c:pt>
                <c:pt idx="1">
                  <c:v>bibliotheken (n=6)</c:v>
                </c:pt>
                <c:pt idx="2">
                  <c:v>musea (n=55)</c:v>
                </c:pt>
                <c:pt idx="3">
                  <c:v>overig (n=5)</c:v>
                </c:pt>
                <c:pt idx="4">
                  <c:v>gemiddelde</c:v>
                </c:pt>
                <c:pt idx="5">
                  <c:v>mediaan </c:v>
                </c:pt>
              </c:strCache>
            </c:strRef>
          </c:cat>
          <c:val>
            <c:numRef>
              <c:f>'Q29&amp;Q30'!$R$38:$W$38</c:f>
              <c:numCache>
                <c:formatCode>0.0</c:formatCode>
                <c:ptCount val="6"/>
                <c:pt idx="0">
                  <c:v>4.7946428571428568</c:v>
                </c:pt>
                <c:pt idx="1">
                  <c:v>2.7833333333333332</c:v>
                </c:pt>
                <c:pt idx="2">
                  <c:v>2.3580000000000001</c:v>
                </c:pt>
                <c:pt idx="3">
                  <c:v>27</c:v>
                </c:pt>
                <c:pt idx="4" formatCode="General">
                  <c:v>4.4000000000000004</c:v>
                </c:pt>
                <c:pt idx="5" formatCode="General">
                  <c:v>1</c:v>
                </c:pt>
              </c:numCache>
            </c:numRef>
          </c:val>
        </c:ser>
        <c:ser>
          <c:idx val="1"/>
          <c:order val="1"/>
          <c:tx>
            <c:strRef>
              <c:f>'Q29&amp;Q30'!$Q$39</c:f>
              <c:strCache>
                <c:ptCount val="1"/>
                <c:pt idx="0">
                  <c:v>Vrijwilligers</c:v>
                </c:pt>
              </c:strCache>
            </c:strRef>
          </c:tx>
          <c:cat>
            <c:strRef>
              <c:f>'Q29&amp;Q30'!$R$37:$W$37</c:f>
              <c:strCache>
                <c:ptCount val="6"/>
                <c:pt idx="0">
                  <c:v>archieven (n=28)</c:v>
                </c:pt>
                <c:pt idx="1">
                  <c:v>bibliotheken (n=6)</c:v>
                </c:pt>
                <c:pt idx="2">
                  <c:v>musea (n=55)</c:v>
                </c:pt>
                <c:pt idx="3">
                  <c:v>overig (n=5)</c:v>
                </c:pt>
                <c:pt idx="4">
                  <c:v>gemiddelde</c:v>
                </c:pt>
                <c:pt idx="5">
                  <c:v>mediaan </c:v>
                </c:pt>
              </c:strCache>
            </c:strRef>
          </c:cat>
          <c:val>
            <c:numRef>
              <c:f>'Q29&amp;Q30'!$R$39:$W$39</c:f>
              <c:numCache>
                <c:formatCode>0.0</c:formatCode>
                <c:ptCount val="6"/>
                <c:pt idx="0">
                  <c:v>18.571428571428573</c:v>
                </c:pt>
                <c:pt idx="1">
                  <c:v>0.68333333333333324</c:v>
                </c:pt>
                <c:pt idx="2">
                  <c:v>3.3609090909090908</c:v>
                </c:pt>
                <c:pt idx="3">
                  <c:v>1.6</c:v>
                </c:pt>
                <c:pt idx="4" formatCode="General">
                  <c:v>7.6</c:v>
                </c:pt>
                <c:pt idx="5" formatCode="General">
                  <c:v>1</c:v>
                </c:pt>
              </c:numCache>
            </c:numRef>
          </c:val>
        </c:ser>
        <c:dLbls>
          <c:showVal val="1"/>
        </c:dLbls>
        <c:overlap val="-25"/>
        <c:axId val="112918528"/>
        <c:axId val="112920064"/>
      </c:barChart>
      <c:catAx>
        <c:axId val="112918528"/>
        <c:scaling>
          <c:orientation val="minMax"/>
        </c:scaling>
        <c:axPos val="b"/>
        <c:majorTickMark val="none"/>
        <c:tickLblPos val="nextTo"/>
        <c:crossAx val="112920064"/>
        <c:crosses val="autoZero"/>
        <c:auto val="1"/>
        <c:lblAlgn val="ctr"/>
        <c:lblOffset val="100"/>
      </c:catAx>
      <c:valAx>
        <c:axId val="112920064"/>
        <c:scaling>
          <c:orientation val="minMax"/>
        </c:scaling>
        <c:delete val="1"/>
        <c:axPos val="l"/>
        <c:numFmt formatCode="0.0" sourceLinked="1"/>
        <c:tickLblPos val="none"/>
        <c:crossAx val="112918528"/>
        <c:crosses val="autoZero"/>
        <c:crossBetween val="between"/>
      </c:valAx>
    </c:plotArea>
    <c:legend>
      <c:legendPos val="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en-US" sz="1800" b="1" i="0" u="none" strike="noStrike" baseline="0"/>
              <a:t>Gemiddeld aantal betaalde medewerkers bij respondenten (n=131)</a:t>
            </a:r>
            <a:endParaRPr lang="nl-NL"/>
          </a:p>
        </c:rich>
      </c:tx>
      <c:layout/>
    </c:title>
    <c:plotArea>
      <c:layout/>
      <c:barChart>
        <c:barDir val="col"/>
        <c:grouping val="clustered"/>
        <c:ser>
          <c:idx val="0"/>
          <c:order val="0"/>
          <c:dPt>
            <c:idx val="4"/>
            <c:spPr>
              <a:solidFill>
                <a:schemeClr val="accent2"/>
              </a:solidFill>
            </c:spPr>
          </c:dPt>
          <c:dPt>
            <c:idx val="5"/>
            <c:spPr>
              <a:solidFill>
                <a:schemeClr val="accent2"/>
              </a:solidFill>
            </c:spPr>
          </c:dPt>
          <c:cat>
            <c:strRef>
              <c:f>'Q10'!$I$9:$I$14</c:f>
              <c:strCache>
                <c:ptCount val="6"/>
                <c:pt idx="0">
                  <c:v>Overig (n = 6)</c:v>
                </c:pt>
                <c:pt idx="1">
                  <c:v>Bibliotheken (n=6)</c:v>
                </c:pt>
                <c:pt idx="2">
                  <c:v>Archieven (n = 35)</c:v>
                </c:pt>
                <c:pt idx="3">
                  <c:v>Musea (n = 84)</c:v>
                </c:pt>
                <c:pt idx="4">
                  <c:v>Gemiddelde</c:v>
                </c:pt>
                <c:pt idx="5">
                  <c:v>Mediaan</c:v>
                </c:pt>
              </c:strCache>
            </c:strRef>
          </c:cat>
          <c:val>
            <c:numRef>
              <c:f>'Q10'!$J$9:$J$14</c:f>
              <c:numCache>
                <c:formatCode>0</c:formatCode>
                <c:ptCount val="6"/>
                <c:pt idx="0">
                  <c:v>108.2</c:v>
                </c:pt>
                <c:pt idx="1">
                  <c:v>36</c:v>
                </c:pt>
                <c:pt idx="2">
                  <c:v>20</c:v>
                </c:pt>
                <c:pt idx="3">
                  <c:v>19</c:v>
                </c:pt>
                <c:pt idx="4">
                  <c:v>22</c:v>
                </c:pt>
                <c:pt idx="5">
                  <c:v>7</c:v>
                </c:pt>
              </c:numCache>
            </c:numRef>
          </c:val>
        </c:ser>
        <c:dLbls>
          <c:showVal val="1"/>
        </c:dLbls>
        <c:overlap val="-25"/>
        <c:axId val="108472192"/>
        <c:axId val="108473728"/>
      </c:barChart>
      <c:catAx>
        <c:axId val="108472192"/>
        <c:scaling>
          <c:orientation val="minMax"/>
        </c:scaling>
        <c:axPos val="b"/>
        <c:majorTickMark val="none"/>
        <c:tickLblPos val="nextTo"/>
        <c:crossAx val="108473728"/>
        <c:crosses val="autoZero"/>
        <c:auto val="1"/>
        <c:lblAlgn val="ctr"/>
        <c:lblOffset val="100"/>
      </c:catAx>
      <c:valAx>
        <c:axId val="108473728"/>
        <c:scaling>
          <c:orientation val="minMax"/>
        </c:scaling>
        <c:delete val="1"/>
        <c:axPos val="l"/>
        <c:numFmt formatCode="0" sourceLinked="1"/>
        <c:tickLblPos val="none"/>
        <c:crossAx val="108472192"/>
        <c:crosses val="autoZero"/>
        <c:crossBetween val="between"/>
      </c:valAx>
    </c:plotArea>
    <c:plotVisOnly val="1"/>
    <c:dispBlanksAs val="gap"/>
  </c:chart>
  <c:printSettings>
    <c:headerFooter/>
    <c:pageMargins b="0.75000000000000222" l="0.70000000000000062" r="0.70000000000000062" t="0.7500000000000022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a:t>Financieringsbronnen die erfgoedinstellingen aanwenden voor digitale collecties (n=94)</a:t>
            </a:r>
          </a:p>
        </c:rich>
      </c:tx>
      <c:layout/>
    </c:title>
    <c:plotArea>
      <c:layout/>
      <c:barChart>
        <c:barDir val="col"/>
        <c:grouping val="clustered"/>
        <c:ser>
          <c:idx val="0"/>
          <c:order val="0"/>
          <c:cat>
            <c:strRef>
              <c:f>'Q31'!$M$5:$M$12</c:f>
              <c:strCache>
                <c:ptCount val="8"/>
                <c:pt idx="0">
                  <c:v>Interne budgetten</c:v>
                </c:pt>
                <c:pt idx="1">
                  <c:v>Nationale subsidies</c:v>
                </c:pt>
                <c:pt idx="2">
                  <c:v>Regionale/lokale subsidies</c:v>
                </c:pt>
                <c:pt idx="3">
                  <c:v>Private schenkingen</c:v>
                </c:pt>
                <c:pt idx="4">
                  <c:v>Verkoop digitale producten</c:v>
                </c:pt>
                <c:pt idx="5">
                  <c:v>Publiek-private samenwerking</c:v>
                </c:pt>
                <c:pt idx="6">
                  <c:v>Crowdfunding</c:v>
                </c:pt>
                <c:pt idx="7">
                  <c:v>Overige inkomstenbronnen</c:v>
                </c:pt>
              </c:strCache>
            </c:strRef>
          </c:cat>
          <c:val>
            <c:numRef>
              <c:f>'Q31'!$N$5:$N$12</c:f>
              <c:numCache>
                <c:formatCode>General</c:formatCode>
                <c:ptCount val="8"/>
                <c:pt idx="0">
                  <c:v>96.8</c:v>
                </c:pt>
                <c:pt idx="1">
                  <c:v>36.200000000000003</c:v>
                </c:pt>
                <c:pt idx="2">
                  <c:v>34</c:v>
                </c:pt>
                <c:pt idx="3">
                  <c:v>14.9</c:v>
                </c:pt>
                <c:pt idx="4">
                  <c:v>12.8</c:v>
                </c:pt>
                <c:pt idx="5">
                  <c:v>8.5</c:v>
                </c:pt>
                <c:pt idx="6">
                  <c:v>4.3</c:v>
                </c:pt>
                <c:pt idx="7">
                  <c:v>3.2</c:v>
                </c:pt>
              </c:numCache>
            </c:numRef>
          </c:val>
        </c:ser>
        <c:dLbls>
          <c:showVal val="1"/>
        </c:dLbls>
        <c:overlap val="-25"/>
        <c:axId val="112981888"/>
        <c:axId val="112983424"/>
      </c:barChart>
      <c:catAx>
        <c:axId val="112981888"/>
        <c:scaling>
          <c:orientation val="minMax"/>
        </c:scaling>
        <c:axPos val="b"/>
        <c:majorTickMark val="none"/>
        <c:tickLblPos val="nextTo"/>
        <c:crossAx val="112983424"/>
        <c:crosses val="autoZero"/>
        <c:auto val="1"/>
        <c:lblAlgn val="ctr"/>
        <c:lblOffset val="100"/>
      </c:catAx>
      <c:valAx>
        <c:axId val="112983424"/>
        <c:scaling>
          <c:orientation val="minMax"/>
        </c:scaling>
        <c:delete val="1"/>
        <c:axPos val="l"/>
        <c:numFmt formatCode="General" sourceLinked="1"/>
        <c:tickLblPos val="none"/>
        <c:crossAx val="112981888"/>
        <c:crosses val="autoZero"/>
        <c:crossBetween val="between"/>
      </c:valAx>
    </c:plotArea>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Financieringsbronnen die erfgoedinstellingen aanwenden voor digitale collecties (per domein) (n=94)</a:t>
            </a:r>
            <a:endParaRPr lang="nl-NL"/>
          </a:p>
        </c:rich>
      </c:tx>
    </c:title>
    <c:plotArea>
      <c:layout/>
      <c:barChart>
        <c:barDir val="bar"/>
        <c:grouping val="clustered"/>
        <c:ser>
          <c:idx val="0"/>
          <c:order val="0"/>
          <c:tx>
            <c:strRef>
              <c:f>'Q31'!$N$25</c:f>
              <c:strCache>
                <c:ptCount val="1"/>
                <c:pt idx="0">
                  <c:v>archieven (n=28)</c:v>
                </c:pt>
              </c:strCache>
            </c:strRef>
          </c:tx>
          <c:cat>
            <c:strRef>
              <c:f>'Q31'!$M$26:$M$33</c:f>
              <c:strCache>
                <c:ptCount val="8"/>
                <c:pt idx="0">
                  <c:v>Overige inkomstenbronnen</c:v>
                </c:pt>
                <c:pt idx="1">
                  <c:v>Publiek-private samenwerking</c:v>
                </c:pt>
                <c:pt idx="2">
                  <c:v>Crowdfunding</c:v>
                </c:pt>
                <c:pt idx="3">
                  <c:v>Private schenkingen</c:v>
                </c:pt>
                <c:pt idx="4">
                  <c:v>Verkoop digitale producten</c:v>
                </c:pt>
                <c:pt idx="5">
                  <c:v>Regionale/lokale subsidies</c:v>
                </c:pt>
                <c:pt idx="6">
                  <c:v>Nationale subsidies</c:v>
                </c:pt>
                <c:pt idx="7">
                  <c:v>Interne budgetten</c:v>
                </c:pt>
              </c:strCache>
            </c:strRef>
          </c:cat>
          <c:val>
            <c:numRef>
              <c:f>'Q31'!$N$26:$N$33</c:f>
              <c:numCache>
                <c:formatCode>0%</c:formatCode>
                <c:ptCount val="8"/>
                <c:pt idx="0">
                  <c:v>7.1428571428571425E-2</c:v>
                </c:pt>
                <c:pt idx="1">
                  <c:v>0.14285714285714285</c:v>
                </c:pt>
                <c:pt idx="2">
                  <c:v>3.5714285714285712E-2</c:v>
                </c:pt>
                <c:pt idx="3">
                  <c:v>0.10714285714285714</c:v>
                </c:pt>
                <c:pt idx="4">
                  <c:v>0.21428571428571427</c:v>
                </c:pt>
                <c:pt idx="5">
                  <c:v>0.32142857142857145</c:v>
                </c:pt>
                <c:pt idx="6">
                  <c:v>0.39285714285714285</c:v>
                </c:pt>
                <c:pt idx="7">
                  <c:v>1</c:v>
                </c:pt>
              </c:numCache>
            </c:numRef>
          </c:val>
        </c:ser>
        <c:ser>
          <c:idx val="1"/>
          <c:order val="1"/>
          <c:tx>
            <c:strRef>
              <c:f>'Q31'!$O$25</c:f>
              <c:strCache>
                <c:ptCount val="1"/>
                <c:pt idx="0">
                  <c:v>bibliotheken (n=6)</c:v>
                </c:pt>
              </c:strCache>
            </c:strRef>
          </c:tx>
          <c:cat>
            <c:strRef>
              <c:f>'Q31'!$M$26:$M$33</c:f>
              <c:strCache>
                <c:ptCount val="8"/>
                <c:pt idx="0">
                  <c:v>Overige inkomstenbronnen</c:v>
                </c:pt>
                <c:pt idx="1">
                  <c:v>Publiek-private samenwerking</c:v>
                </c:pt>
                <c:pt idx="2">
                  <c:v>Crowdfunding</c:v>
                </c:pt>
                <c:pt idx="3">
                  <c:v>Private schenkingen</c:v>
                </c:pt>
                <c:pt idx="4">
                  <c:v>Verkoop digitale producten</c:v>
                </c:pt>
                <c:pt idx="5">
                  <c:v>Regionale/lokale subsidies</c:v>
                </c:pt>
                <c:pt idx="6">
                  <c:v>Nationale subsidies</c:v>
                </c:pt>
                <c:pt idx="7">
                  <c:v>Interne budgetten</c:v>
                </c:pt>
              </c:strCache>
            </c:strRef>
          </c:cat>
          <c:val>
            <c:numRef>
              <c:f>'Q31'!$O$26:$O$33</c:f>
              <c:numCache>
                <c:formatCode>0%</c:formatCode>
                <c:ptCount val="8"/>
                <c:pt idx="0">
                  <c:v>0</c:v>
                </c:pt>
                <c:pt idx="1">
                  <c:v>0</c:v>
                </c:pt>
                <c:pt idx="2">
                  <c:v>0</c:v>
                </c:pt>
                <c:pt idx="3">
                  <c:v>0.33333333333333331</c:v>
                </c:pt>
                <c:pt idx="4">
                  <c:v>0.33333333333333331</c:v>
                </c:pt>
                <c:pt idx="5">
                  <c:v>0</c:v>
                </c:pt>
                <c:pt idx="6">
                  <c:v>1</c:v>
                </c:pt>
                <c:pt idx="7">
                  <c:v>1</c:v>
                </c:pt>
              </c:numCache>
            </c:numRef>
          </c:val>
        </c:ser>
        <c:ser>
          <c:idx val="2"/>
          <c:order val="2"/>
          <c:tx>
            <c:strRef>
              <c:f>'Q31'!$P$25</c:f>
              <c:strCache>
                <c:ptCount val="1"/>
                <c:pt idx="0">
                  <c:v>musea (n=55)</c:v>
                </c:pt>
              </c:strCache>
            </c:strRef>
          </c:tx>
          <c:cat>
            <c:strRef>
              <c:f>'Q31'!$M$26:$M$33</c:f>
              <c:strCache>
                <c:ptCount val="8"/>
                <c:pt idx="0">
                  <c:v>Overige inkomstenbronnen</c:v>
                </c:pt>
                <c:pt idx="1">
                  <c:v>Publiek-private samenwerking</c:v>
                </c:pt>
                <c:pt idx="2">
                  <c:v>Crowdfunding</c:v>
                </c:pt>
                <c:pt idx="3">
                  <c:v>Private schenkingen</c:v>
                </c:pt>
                <c:pt idx="4">
                  <c:v>Verkoop digitale producten</c:v>
                </c:pt>
                <c:pt idx="5">
                  <c:v>Regionale/lokale subsidies</c:v>
                </c:pt>
                <c:pt idx="6">
                  <c:v>Nationale subsidies</c:v>
                </c:pt>
                <c:pt idx="7">
                  <c:v>Interne budgetten</c:v>
                </c:pt>
              </c:strCache>
            </c:strRef>
          </c:cat>
          <c:val>
            <c:numRef>
              <c:f>'Q31'!$P$26:$P$33</c:f>
              <c:numCache>
                <c:formatCode>0%</c:formatCode>
                <c:ptCount val="8"/>
                <c:pt idx="0">
                  <c:v>1.8181818181818181E-2</c:v>
                </c:pt>
                <c:pt idx="1">
                  <c:v>7.2727272727272724E-2</c:v>
                </c:pt>
                <c:pt idx="2">
                  <c:v>1.8181818181818181E-2</c:v>
                </c:pt>
                <c:pt idx="3">
                  <c:v>0.16363636363636364</c:v>
                </c:pt>
                <c:pt idx="4">
                  <c:v>3.6363636363636362E-2</c:v>
                </c:pt>
                <c:pt idx="5">
                  <c:v>0.38181818181818183</c:v>
                </c:pt>
                <c:pt idx="6">
                  <c:v>0.25454545454545452</c:v>
                </c:pt>
                <c:pt idx="7">
                  <c:v>0.96363636363636362</c:v>
                </c:pt>
              </c:numCache>
            </c:numRef>
          </c:val>
        </c:ser>
        <c:ser>
          <c:idx val="3"/>
          <c:order val="3"/>
          <c:tx>
            <c:strRef>
              <c:f>'Q31'!$Q$25</c:f>
              <c:strCache>
                <c:ptCount val="1"/>
                <c:pt idx="0">
                  <c:v>overig (n=5)</c:v>
                </c:pt>
              </c:strCache>
            </c:strRef>
          </c:tx>
          <c:cat>
            <c:strRef>
              <c:f>'Q31'!$M$26:$M$33</c:f>
              <c:strCache>
                <c:ptCount val="8"/>
                <c:pt idx="0">
                  <c:v>Overige inkomstenbronnen</c:v>
                </c:pt>
                <c:pt idx="1">
                  <c:v>Publiek-private samenwerking</c:v>
                </c:pt>
                <c:pt idx="2">
                  <c:v>Crowdfunding</c:v>
                </c:pt>
                <c:pt idx="3">
                  <c:v>Private schenkingen</c:v>
                </c:pt>
                <c:pt idx="4">
                  <c:v>Verkoop digitale producten</c:v>
                </c:pt>
                <c:pt idx="5">
                  <c:v>Regionale/lokale subsidies</c:v>
                </c:pt>
                <c:pt idx="6">
                  <c:v>Nationale subsidies</c:v>
                </c:pt>
                <c:pt idx="7">
                  <c:v>Interne budgetten</c:v>
                </c:pt>
              </c:strCache>
            </c:strRef>
          </c:cat>
          <c:val>
            <c:numRef>
              <c:f>'Q31'!$Q$26:$Q$33</c:f>
              <c:numCache>
                <c:formatCode>0%</c:formatCode>
                <c:ptCount val="8"/>
                <c:pt idx="0">
                  <c:v>0</c:v>
                </c:pt>
                <c:pt idx="1">
                  <c:v>0</c:v>
                </c:pt>
                <c:pt idx="2">
                  <c:v>0.4</c:v>
                </c:pt>
                <c:pt idx="3">
                  <c:v>0</c:v>
                </c:pt>
                <c:pt idx="4">
                  <c:v>0.4</c:v>
                </c:pt>
                <c:pt idx="5">
                  <c:v>0.4</c:v>
                </c:pt>
                <c:pt idx="6">
                  <c:v>0.6</c:v>
                </c:pt>
                <c:pt idx="7">
                  <c:v>0.8</c:v>
                </c:pt>
              </c:numCache>
            </c:numRef>
          </c:val>
        </c:ser>
        <c:dLbls>
          <c:showVal val="1"/>
        </c:dLbls>
        <c:overlap val="-25"/>
        <c:axId val="113027712"/>
        <c:axId val="113045888"/>
      </c:barChart>
      <c:catAx>
        <c:axId val="113027712"/>
        <c:scaling>
          <c:orientation val="minMax"/>
        </c:scaling>
        <c:axPos val="l"/>
        <c:majorTickMark val="none"/>
        <c:tickLblPos val="nextTo"/>
        <c:crossAx val="113045888"/>
        <c:crosses val="autoZero"/>
        <c:auto val="1"/>
        <c:lblAlgn val="ctr"/>
        <c:lblOffset val="100"/>
      </c:catAx>
      <c:valAx>
        <c:axId val="113045888"/>
        <c:scaling>
          <c:orientation val="minMax"/>
        </c:scaling>
        <c:delete val="1"/>
        <c:axPos val="b"/>
        <c:numFmt formatCode="0%" sourceLinked="1"/>
        <c:majorTickMark val="none"/>
        <c:tickLblPos val="none"/>
        <c:crossAx val="113027712"/>
        <c:crosses val="autoZero"/>
        <c:crossBetween val="between"/>
      </c:valAx>
    </c:plotArea>
    <c:legend>
      <c:legendPos val="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a:pPr>
            <a:r>
              <a:rPr lang="nl-NL" sz="1800" b="1" i="0" baseline="0"/>
              <a:t>Digitaliseert of</a:t>
            </a:r>
          </a:p>
          <a:p>
            <a:pPr>
              <a:defRPr/>
            </a:pPr>
            <a:r>
              <a:rPr lang="nl-NL" sz="1800" b="1" i="0" baseline="0"/>
              <a:t> heeft digitale collecties</a:t>
            </a:r>
            <a:endParaRPr lang="nl-NL"/>
          </a:p>
          <a:p>
            <a:pPr>
              <a:defRPr/>
            </a:pPr>
            <a:r>
              <a:rPr lang="nl-NL" sz="1800" b="1" i="0" baseline="0"/>
              <a:t>(n = 141)</a:t>
            </a:r>
          </a:p>
          <a:p>
            <a:pPr>
              <a:defRPr/>
            </a:pPr>
            <a:endParaRPr lang="nl-NL"/>
          </a:p>
        </c:rich>
      </c:tx>
      <c:layout/>
    </c:title>
    <c:plotArea>
      <c:layout/>
      <c:pieChart>
        <c:varyColors val="1"/>
        <c:ser>
          <c:idx val="0"/>
          <c:order val="0"/>
          <c:dLbls>
            <c:showPercent val="1"/>
            <c:showLeaderLines val="1"/>
          </c:dLbls>
          <c:cat>
            <c:strRef>
              <c:f>'Q11&amp;Q12'!$J$6:$J$7</c:f>
              <c:strCache>
                <c:ptCount val="2"/>
                <c:pt idx="0">
                  <c:v>Ja</c:v>
                </c:pt>
                <c:pt idx="1">
                  <c:v>Nee</c:v>
                </c:pt>
              </c:strCache>
            </c:strRef>
          </c:cat>
          <c:val>
            <c:numRef>
              <c:f>'Q11&amp;Q12'!$K$6:$K$7</c:f>
              <c:numCache>
                <c:formatCode>General</c:formatCode>
                <c:ptCount val="2"/>
                <c:pt idx="0">
                  <c:v>129</c:v>
                </c:pt>
                <c:pt idx="1">
                  <c:v>12</c:v>
                </c:pt>
              </c:numCache>
            </c:numRef>
          </c:val>
        </c:ser>
        <c:dLbls>
          <c:showPercent val="1"/>
        </c:dLbls>
        <c:firstSliceAng val="0"/>
      </c:pieChart>
    </c:plotArea>
    <c:legend>
      <c:legendPos val="t"/>
      <c:layout/>
    </c:legend>
    <c:plotVisOnly val="1"/>
    <c:dispBlanksAs val="zero"/>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chart" Target="../charts/chart5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4"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5" Type="http://schemas.openxmlformats.org/officeDocument/2006/relationships/chart" Target="../charts/chart70.xml"/><Relationship Id="rId4" Type="http://schemas.openxmlformats.org/officeDocument/2006/relationships/chart" Target="../charts/chart69.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4" Type="http://schemas.openxmlformats.org/officeDocument/2006/relationships/chart" Target="../charts/chart74.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11</xdr:col>
      <xdr:colOff>161925</xdr:colOff>
      <xdr:row>2</xdr:row>
      <xdr:rowOff>152400</xdr:rowOff>
    </xdr:from>
    <xdr:to>
      <xdr:col>19</xdr:col>
      <xdr:colOff>581025</xdr:colOff>
      <xdr:row>23</xdr:row>
      <xdr:rowOff>57149</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388620</xdr:colOff>
      <xdr:row>24</xdr:row>
      <xdr:rowOff>123825</xdr:rowOff>
    </xdr:from>
    <xdr:to>
      <xdr:col>19</xdr:col>
      <xdr:colOff>83820</xdr:colOff>
      <xdr:row>39</xdr:row>
      <xdr:rowOff>9525</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114300</xdr:colOff>
      <xdr:row>40</xdr:row>
      <xdr:rowOff>45720</xdr:rowOff>
    </xdr:from>
    <xdr:to>
      <xdr:col>19</xdr:col>
      <xdr:colOff>342900</xdr:colOff>
      <xdr:row>62</xdr:row>
      <xdr:rowOff>129540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285750</xdr:colOff>
      <xdr:row>103</xdr:row>
      <xdr:rowOff>104775</xdr:rowOff>
    </xdr:from>
    <xdr:to>
      <xdr:col>11</xdr:col>
      <xdr:colOff>152400</xdr:colOff>
      <xdr:row>116</xdr:row>
      <xdr:rowOff>180975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200024</xdr:colOff>
      <xdr:row>96</xdr:row>
      <xdr:rowOff>19049</xdr:rowOff>
    </xdr:from>
    <xdr:to>
      <xdr:col>16</xdr:col>
      <xdr:colOff>600075</xdr:colOff>
      <xdr:row>113</xdr:row>
      <xdr:rowOff>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381000</xdr:colOff>
      <xdr:row>26</xdr:row>
      <xdr:rowOff>38100</xdr:rowOff>
    </xdr:from>
    <xdr:to>
      <xdr:col>14</xdr:col>
      <xdr:colOff>76200</xdr:colOff>
      <xdr:row>39</xdr:row>
      <xdr:rowOff>114300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47624</xdr:colOff>
      <xdr:row>47</xdr:row>
      <xdr:rowOff>47625</xdr:rowOff>
    </xdr:from>
    <xdr:to>
      <xdr:col>16</xdr:col>
      <xdr:colOff>247649</xdr:colOff>
      <xdr:row>64</xdr:row>
      <xdr:rowOff>66675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219075</xdr:colOff>
      <xdr:row>87</xdr:row>
      <xdr:rowOff>114300</xdr:rowOff>
    </xdr:from>
    <xdr:to>
      <xdr:col>16</xdr:col>
      <xdr:colOff>571500</xdr:colOff>
      <xdr:row>107</xdr:row>
      <xdr:rowOff>171450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83820</xdr:colOff>
      <xdr:row>78</xdr:row>
      <xdr:rowOff>30480</xdr:rowOff>
    </xdr:from>
    <xdr:to>
      <xdr:col>17</xdr:col>
      <xdr:colOff>403860</xdr:colOff>
      <xdr:row>93</xdr:row>
      <xdr:rowOff>30480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66674</xdr:colOff>
      <xdr:row>41</xdr:row>
      <xdr:rowOff>19050</xdr:rowOff>
    </xdr:from>
    <xdr:to>
      <xdr:col>1</xdr:col>
      <xdr:colOff>1876425</xdr:colOff>
      <xdr:row>78</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76199</xdr:colOff>
      <xdr:row>50</xdr:row>
      <xdr:rowOff>152398</xdr:rowOff>
    </xdr:from>
    <xdr:to>
      <xdr:col>8</xdr:col>
      <xdr:colOff>57151</xdr:colOff>
      <xdr:row>96</xdr:row>
      <xdr:rowOff>114300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160020</xdr:colOff>
      <xdr:row>5</xdr:row>
      <xdr:rowOff>167640</xdr:rowOff>
    </xdr:from>
    <xdr:to>
      <xdr:col>16</xdr:col>
      <xdr:colOff>259080</xdr:colOff>
      <xdr:row>46</xdr:row>
      <xdr:rowOff>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137160</xdr:colOff>
      <xdr:row>4</xdr:row>
      <xdr:rowOff>0</xdr:rowOff>
    </xdr:from>
    <xdr:to>
      <xdr:col>12</xdr:col>
      <xdr:colOff>441960</xdr:colOff>
      <xdr:row>21</xdr:row>
      <xdr:rowOff>114300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160020</xdr:colOff>
      <xdr:row>4</xdr:row>
      <xdr:rowOff>0</xdr:rowOff>
    </xdr:from>
    <xdr:to>
      <xdr:col>12</xdr:col>
      <xdr:colOff>533400</xdr:colOff>
      <xdr:row>21</xdr:row>
      <xdr:rowOff>45720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390525</xdr:colOff>
      <xdr:row>22</xdr:row>
      <xdr:rowOff>38099</xdr:rowOff>
    </xdr:from>
    <xdr:to>
      <xdr:col>12</xdr:col>
      <xdr:colOff>476251</xdr:colOff>
      <xdr:row>46</xdr:row>
      <xdr:rowOff>76199</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167640</xdr:colOff>
      <xdr:row>3</xdr:row>
      <xdr:rowOff>160020</xdr:rowOff>
    </xdr:from>
    <xdr:to>
      <xdr:col>13</xdr:col>
      <xdr:colOff>601980</xdr:colOff>
      <xdr:row>20</xdr:row>
      <xdr:rowOff>22860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29</xdr:row>
      <xdr:rowOff>19050</xdr:rowOff>
    </xdr:from>
    <xdr:to>
      <xdr:col>12</xdr:col>
      <xdr:colOff>542925</xdr:colOff>
      <xdr:row>46</xdr:row>
      <xdr:rowOff>38100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152401</xdr:colOff>
      <xdr:row>13</xdr:row>
      <xdr:rowOff>47625</xdr:rowOff>
    </xdr:from>
    <xdr:to>
      <xdr:col>10</xdr:col>
      <xdr:colOff>257175</xdr:colOff>
      <xdr:row>34</xdr:row>
      <xdr:rowOff>66675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13</xdr:row>
      <xdr:rowOff>47623</xdr:rowOff>
    </xdr:from>
    <xdr:to>
      <xdr:col>17</xdr:col>
      <xdr:colOff>523875</xdr:colOff>
      <xdr:row>36</xdr:row>
      <xdr:rowOff>85724</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114299</xdr:colOff>
      <xdr:row>51</xdr:row>
      <xdr:rowOff>28575</xdr:rowOff>
    </xdr:from>
    <xdr:to>
      <xdr:col>12</xdr:col>
      <xdr:colOff>457200</xdr:colOff>
      <xdr:row>76</xdr:row>
      <xdr:rowOff>95250</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99060</xdr:colOff>
      <xdr:row>57</xdr:row>
      <xdr:rowOff>34290</xdr:rowOff>
    </xdr:from>
    <xdr:to>
      <xdr:col>10</xdr:col>
      <xdr:colOff>381000</xdr:colOff>
      <xdr:row>76</xdr:row>
      <xdr:rowOff>60960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259080</xdr:colOff>
      <xdr:row>34</xdr:row>
      <xdr:rowOff>171450</xdr:rowOff>
    </xdr:from>
    <xdr:to>
      <xdr:col>9</xdr:col>
      <xdr:colOff>182880</xdr:colOff>
      <xdr:row>50</xdr:row>
      <xdr:rowOff>38100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40</xdr:row>
      <xdr:rowOff>163830</xdr:rowOff>
    </xdr:from>
    <xdr:to>
      <xdr:col>10</xdr:col>
      <xdr:colOff>373380</xdr:colOff>
      <xdr:row>59</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83820</xdr:colOff>
      <xdr:row>32</xdr:row>
      <xdr:rowOff>34290</xdr:rowOff>
    </xdr:from>
    <xdr:to>
      <xdr:col>9</xdr:col>
      <xdr:colOff>190500</xdr:colOff>
      <xdr:row>49</xdr:row>
      <xdr:rowOff>60960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167640</xdr:colOff>
      <xdr:row>34</xdr:row>
      <xdr:rowOff>41910</xdr:rowOff>
    </xdr:from>
    <xdr:to>
      <xdr:col>9</xdr:col>
      <xdr:colOff>441960</xdr:colOff>
      <xdr:row>50</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42</xdr:row>
      <xdr:rowOff>11430</xdr:rowOff>
    </xdr:from>
    <xdr:to>
      <xdr:col>11</xdr:col>
      <xdr:colOff>91440</xdr:colOff>
      <xdr:row>60</xdr:row>
      <xdr:rowOff>38100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584835</xdr:colOff>
      <xdr:row>12</xdr:row>
      <xdr:rowOff>59055</xdr:rowOff>
    </xdr:from>
    <xdr:to>
      <xdr:col>15</xdr:col>
      <xdr:colOff>97155</xdr:colOff>
      <xdr:row>31</xdr:row>
      <xdr:rowOff>51435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594360</xdr:colOff>
      <xdr:row>43</xdr:row>
      <xdr:rowOff>121920</xdr:rowOff>
    </xdr:from>
    <xdr:to>
      <xdr:col>18</xdr:col>
      <xdr:colOff>228600</xdr:colOff>
      <xdr:row>66</xdr:row>
      <xdr:rowOff>7620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8</xdr:col>
      <xdr:colOff>403860</xdr:colOff>
      <xdr:row>2</xdr:row>
      <xdr:rowOff>53340</xdr:rowOff>
    </xdr:from>
    <xdr:to>
      <xdr:col>13</xdr:col>
      <xdr:colOff>15240</xdr:colOff>
      <xdr:row>19</xdr:row>
      <xdr:rowOff>99060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327660</xdr:colOff>
      <xdr:row>16</xdr:row>
      <xdr:rowOff>22860</xdr:rowOff>
    </xdr:from>
    <xdr:to>
      <xdr:col>8</xdr:col>
      <xdr:colOff>190500</xdr:colOff>
      <xdr:row>38</xdr:row>
      <xdr:rowOff>15240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464820</xdr:colOff>
      <xdr:row>2</xdr:row>
      <xdr:rowOff>15240</xdr:rowOff>
    </xdr:from>
    <xdr:to>
      <xdr:col>15</xdr:col>
      <xdr:colOff>289560</xdr:colOff>
      <xdr:row>20</xdr:row>
      <xdr:rowOff>22860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510540</xdr:colOff>
      <xdr:row>16</xdr:row>
      <xdr:rowOff>60960</xdr:rowOff>
    </xdr:from>
    <xdr:to>
      <xdr:col>9</xdr:col>
      <xdr:colOff>91440</xdr:colOff>
      <xdr:row>38</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23</xdr:row>
      <xdr:rowOff>9525</xdr:rowOff>
    </xdr:from>
    <xdr:to>
      <xdr:col>18</xdr:col>
      <xdr:colOff>219075</xdr:colOff>
      <xdr:row>42</xdr:row>
      <xdr:rowOff>123825</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171450</xdr:colOff>
      <xdr:row>44</xdr:row>
      <xdr:rowOff>38098</xdr:rowOff>
    </xdr:from>
    <xdr:to>
      <xdr:col>18</xdr:col>
      <xdr:colOff>541019</xdr:colOff>
      <xdr:row>68</xdr:row>
      <xdr:rowOff>38099</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xdr:colOff>
      <xdr:row>1</xdr:row>
      <xdr:rowOff>47624</xdr:rowOff>
    </xdr:from>
    <xdr:to>
      <xdr:col>17</xdr:col>
      <xdr:colOff>457201</xdr:colOff>
      <xdr:row>22</xdr:row>
      <xdr:rowOff>76200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7</xdr:col>
      <xdr:colOff>7620</xdr:colOff>
      <xdr:row>9</xdr:row>
      <xdr:rowOff>38100</xdr:rowOff>
    </xdr:from>
    <xdr:to>
      <xdr:col>13</xdr:col>
      <xdr:colOff>320040</xdr:colOff>
      <xdr:row>26</xdr:row>
      <xdr:rowOff>15240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281940</xdr:colOff>
      <xdr:row>16</xdr:row>
      <xdr:rowOff>76200</xdr:rowOff>
    </xdr:from>
    <xdr:to>
      <xdr:col>17</xdr:col>
      <xdr:colOff>381000</xdr:colOff>
      <xdr:row>35</xdr:row>
      <xdr:rowOff>175260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449580</xdr:colOff>
      <xdr:row>196</xdr:row>
      <xdr:rowOff>53340</xdr:rowOff>
    </xdr:from>
    <xdr:to>
      <xdr:col>22</xdr:col>
      <xdr:colOff>251460</xdr:colOff>
      <xdr:row>216</xdr:row>
      <xdr:rowOff>53340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457200</xdr:colOff>
      <xdr:row>217</xdr:row>
      <xdr:rowOff>15240</xdr:rowOff>
    </xdr:from>
    <xdr:to>
      <xdr:col>22</xdr:col>
      <xdr:colOff>579120</xdr:colOff>
      <xdr:row>235</xdr:row>
      <xdr:rowOff>7620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533400</xdr:colOff>
      <xdr:row>236</xdr:row>
      <xdr:rowOff>60960</xdr:rowOff>
    </xdr:from>
    <xdr:to>
      <xdr:col>22</xdr:col>
      <xdr:colOff>502920</xdr:colOff>
      <xdr:row>254</xdr:row>
      <xdr:rowOff>152400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256</xdr:row>
      <xdr:rowOff>129540</xdr:rowOff>
    </xdr:from>
    <xdr:to>
      <xdr:col>23</xdr:col>
      <xdr:colOff>182880</xdr:colOff>
      <xdr:row>275</xdr:row>
      <xdr:rowOff>121920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205740</xdr:colOff>
      <xdr:row>4</xdr:row>
      <xdr:rowOff>76200</xdr:rowOff>
    </xdr:from>
    <xdr:to>
      <xdr:col>26</xdr:col>
      <xdr:colOff>434340</xdr:colOff>
      <xdr:row>23</xdr:row>
      <xdr:rowOff>83820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205740</xdr:colOff>
      <xdr:row>2</xdr:row>
      <xdr:rowOff>7620</xdr:rowOff>
    </xdr:from>
    <xdr:to>
      <xdr:col>15</xdr:col>
      <xdr:colOff>594360</xdr:colOff>
      <xdr:row>21</xdr:row>
      <xdr:rowOff>83820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586740</xdr:colOff>
      <xdr:row>22</xdr:row>
      <xdr:rowOff>76200</xdr:rowOff>
    </xdr:from>
    <xdr:to>
      <xdr:col>16</xdr:col>
      <xdr:colOff>281940</xdr:colOff>
      <xdr:row>37</xdr:row>
      <xdr:rowOff>76200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487680</xdr:colOff>
      <xdr:row>1</xdr:row>
      <xdr:rowOff>38100</xdr:rowOff>
    </xdr:from>
    <xdr:to>
      <xdr:col>20</xdr:col>
      <xdr:colOff>571500</xdr:colOff>
      <xdr:row>16</xdr:row>
      <xdr:rowOff>38100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518160</xdr:colOff>
      <xdr:row>17</xdr:row>
      <xdr:rowOff>22860</xdr:rowOff>
    </xdr:from>
    <xdr:to>
      <xdr:col>20</xdr:col>
      <xdr:colOff>411480</xdr:colOff>
      <xdr:row>36</xdr:row>
      <xdr:rowOff>30480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23</xdr:row>
      <xdr:rowOff>22860</xdr:rowOff>
    </xdr:from>
    <xdr:to>
      <xdr:col>14</xdr:col>
      <xdr:colOff>297180</xdr:colOff>
      <xdr:row>43</xdr:row>
      <xdr:rowOff>129540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152400</xdr:colOff>
      <xdr:row>7</xdr:row>
      <xdr:rowOff>57150</xdr:rowOff>
    </xdr:from>
    <xdr:to>
      <xdr:col>30</xdr:col>
      <xdr:colOff>152400</xdr:colOff>
      <xdr:row>21</xdr:row>
      <xdr:rowOff>106680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243840</xdr:colOff>
      <xdr:row>12</xdr:row>
      <xdr:rowOff>152400</xdr:rowOff>
    </xdr:from>
    <xdr:to>
      <xdr:col>21</xdr:col>
      <xdr:colOff>419100</xdr:colOff>
      <xdr:row>25</xdr:row>
      <xdr:rowOff>53340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228600</xdr:colOff>
      <xdr:row>0</xdr:row>
      <xdr:rowOff>76200</xdr:rowOff>
    </xdr:from>
    <xdr:to>
      <xdr:col>19</xdr:col>
      <xdr:colOff>419100</xdr:colOff>
      <xdr:row>11</xdr:row>
      <xdr:rowOff>167640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213360</xdr:colOff>
      <xdr:row>25</xdr:row>
      <xdr:rowOff>121920</xdr:rowOff>
    </xdr:from>
    <xdr:to>
      <xdr:col>19</xdr:col>
      <xdr:colOff>426720</xdr:colOff>
      <xdr:row>39</xdr:row>
      <xdr:rowOff>22860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15240</xdr:colOff>
      <xdr:row>35</xdr:row>
      <xdr:rowOff>45720</xdr:rowOff>
    </xdr:from>
    <xdr:to>
      <xdr:col>12</xdr:col>
      <xdr:colOff>495300</xdr:colOff>
      <xdr:row>57</xdr:row>
      <xdr:rowOff>45720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175260</xdr:colOff>
      <xdr:row>40</xdr:row>
      <xdr:rowOff>68580</xdr:rowOff>
    </xdr:from>
    <xdr:to>
      <xdr:col>20</xdr:col>
      <xdr:colOff>480060</xdr:colOff>
      <xdr:row>55</xdr:row>
      <xdr:rowOff>68580</xdr:rowOff>
    </xdr:to>
    <xdr:graphicFrame macro="">
      <xdr:nvGraphicFramePr>
        <xdr:cNvPr id="12" name="Grafie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419099</xdr:colOff>
      <xdr:row>2</xdr:row>
      <xdr:rowOff>104774</xdr:rowOff>
    </xdr:from>
    <xdr:to>
      <xdr:col>19</xdr:col>
      <xdr:colOff>104774</xdr:colOff>
      <xdr:row>16</xdr:row>
      <xdr:rowOff>95249</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17</xdr:row>
      <xdr:rowOff>47625</xdr:rowOff>
    </xdr:from>
    <xdr:to>
      <xdr:col>19</xdr:col>
      <xdr:colOff>152400</xdr:colOff>
      <xdr:row>31</xdr:row>
      <xdr:rowOff>123825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66675</xdr:colOff>
      <xdr:row>23</xdr:row>
      <xdr:rowOff>47625</xdr:rowOff>
    </xdr:from>
    <xdr:to>
      <xdr:col>11</xdr:col>
      <xdr:colOff>9525</xdr:colOff>
      <xdr:row>37</xdr:row>
      <xdr:rowOff>123825</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381000</xdr:colOff>
      <xdr:row>32</xdr:row>
      <xdr:rowOff>57150</xdr:rowOff>
    </xdr:from>
    <xdr:to>
      <xdr:col>19</xdr:col>
      <xdr:colOff>133350</xdr:colOff>
      <xdr:row>49</xdr:row>
      <xdr:rowOff>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15</xdr:col>
      <xdr:colOff>114300</xdr:colOff>
      <xdr:row>0</xdr:row>
      <xdr:rowOff>180974</xdr:rowOff>
    </xdr:from>
    <xdr:to>
      <xdr:col>24</xdr:col>
      <xdr:colOff>66676</xdr:colOff>
      <xdr:row>31</xdr:row>
      <xdr:rowOff>9525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152401</xdr:colOff>
      <xdr:row>32</xdr:row>
      <xdr:rowOff>123823</xdr:rowOff>
    </xdr:from>
    <xdr:to>
      <xdr:col>24</xdr:col>
      <xdr:colOff>95251</xdr:colOff>
      <xdr:row>60</xdr:row>
      <xdr:rowOff>142875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9526</xdr:colOff>
      <xdr:row>16</xdr:row>
      <xdr:rowOff>9525</xdr:rowOff>
    </xdr:from>
    <xdr:to>
      <xdr:col>9</xdr:col>
      <xdr:colOff>142876</xdr:colOff>
      <xdr:row>37</xdr:row>
      <xdr:rowOff>142875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57149</xdr:colOff>
      <xdr:row>14</xdr:row>
      <xdr:rowOff>0</xdr:rowOff>
    </xdr:from>
    <xdr:to>
      <xdr:col>21</xdr:col>
      <xdr:colOff>304800</xdr:colOff>
      <xdr:row>32</xdr:row>
      <xdr:rowOff>133350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9526</xdr:colOff>
      <xdr:row>40</xdr:row>
      <xdr:rowOff>104773</xdr:rowOff>
    </xdr:from>
    <xdr:to>
      <xdr:col>21</xdr:col>
      <xdr:colOff>428626</xdr:colOff>
      <xdr:row>63</xdr:row>
      <xdr:rowOff>114300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14</xdr:col>
      <xdr:colOff>180975</xdr:colOff>
      <xdr:row>0</xdr:row>
      <xdr:rowOff>171449</xdr:rowOff>
    </xdr:from>
    <xdr:to>
      <xdr:col>21</xdr:col>
      <xdr:colOff>390525</xdr:colOff>
      <xdr:row>20</xdr:row>
      <xdr:rowOff>85724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28574</xdr:colOff>
      <xdr:row>34</xdr:row>
      <xdr:rowOff>142874</xdr:rowOff>
    </xdr:from>
    <xdr:to>
      <xdr:col>19</xdr:col>
      <xdr:colOff>228599</xdr:colOff>
      <xdr:row>68</xdr:row>
      <xdr:rowOff>57150</xdr:rowOff>
    </xdr:to>
    <xdr:graphicFrame macro="">
      <xdr:nvGraphicFramePr>
        <xdr:cNvPr id="13" name="Grafie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10</xdr:row>
      <xdr:rowOff>85724</xdr:rowOff>
    </xdr:from>
    <xdr:to>
      <xdr:col>13</xdr:col>
      <xdr:colOff>276225</xdr:colOff>
      <xdr:row>33</xdr:row>
      <xdr:rowOff>57150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10</xdr:row>
      <xdr:rowOff>95249</xdr:rowOff>
    </xdr:from>
    <xdr:to>
      <xdr:col>8</xdr:col>
      <xdr:colOff>447675</xdr:colOff>
      <xdr:row>29</xdr:row>
      <xdr:rowOff>47624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180974</xdr:rowOff>
    </xdr:from>
    <xdr:to>
      <xdr:col>8</xdr:col>
      <xdr:colOff>504826</xdr:colOff>
      <xdr:row>29</xdr:row>
      <xdr:rowOff>47625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0</xdr:row>
      <xdr:rowOff>76200</xdr:rowOff>
    </xdr:from>
    <xdr:to>
      <xdr:col>22</xdr:col>
      <xdr:colOff>533400</xdr:colOff>
      <xdr:row>9</xdr:row>
      <xdr:rowOff>22860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152400</xdr:colOff>
      <xdr:row>9</xdr:row>
      <xdr:rowOff>114300</xdr:rowOff>
    </xdr:from>
    <xdr:to>
      <xdr:col>22</xdr:col>
      <xdr:colOff>579120</xdr:colOff>
      <xdr:row>17</xdr:row>
      <xdr:rowOff>114300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160020</xdr:colOff>
      <xdr:row>18</xdr:row>
      <xdr:rowOff>0</xdr:rowOff>
    </xdr:from>
    <xdr:to>
      <xdr:col>23</xdr:col>
      <xdr:colOff>22860</xdr:colOff>
      <xdr:row>26</xdr:row>
      <xdr:rowOff>38100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160020</xdr:colOff>
      <xdr:row>26</xdr:row>
      <xdr:rowOff>137160</xdr:rowOff>
    </xdr:from>
    <xdr:to>
      <xdr:col>23</xdr:col>
      <xdr:colOff>15240</xdr:colOff>
      <xdr:row>35</xdr:row>
      <xdr:rowOff>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175260</xdr:colOff>
      <xdr:row>35</xdr:row>
      <xdr:rowOff>68580</xdr:rowOff>
    </xdr:from>
    <xdr:to>
      <xdr:col>23</xdr:col>
      <xdr:colOff>7620</xdr:colOff>
      <xdr:row>43</xdr:row>
      <xdr:rowOff>114300</xdr:rowOff>
    </xdr:to>
    <xdr:graphicFrame macro="">
      <xdr:nvGraphicFramePr>
        <xdr:cNvPr id="7" name="Grafie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182880</xdr:colOff>
      <xdr:row>44</xdr:row>
      <xdr:rowOff>38100</xdr:rowOff>
    </xdr:from>
    <xdr:to>
      <xdr:col>23</xdr:col>
      <xdr:colOff>30480</xdr:colOff>
      <xdr:row>52</xdr:row>
      <xdr:rowOff>53340</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205740</xdr:colOff>
      <xdr:row>52</xdr:row>
      <xdr:rowOff>129540</xdr:rowOff>
    </xdr:from>
    <xdr:to>
      <xdr:col>22</xdr:col>
      <xdr:colOff>601980</xdr:colOff>
      <xdr:row>61</xdr:row>
      <xdr:rowOff>121920</xdr:rowOff>
    </xdr:to>
    <xdr:graphicFrame macro="">
      <xdr:nvGraphicFramePr>
        <xdr:cNvPr id="9" name="Grafie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83820</xdr:colOff>
      <xdr:row>76</xdr:row>
      <xdr:rowOff>45720</xdr:rowOff>
    </xdr:from>
    <xdr:to>
      <xdr:col>16</xdr:col>
      <xdr:colOff>533400</xdr:colOff>
      <xdr:row>91</xdr:row>
      <xdr:rowOff>45720</xdr:rowOff>
    </xdr:to>
    <xdr:graphicFrame macro="">
      <xdr:nvGraphicFramePr>
        <xdr:cNvPr id="12" name="Grafie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53340</xdr:colOff>
      <xdr:row>76</xdr:row>
      <xdr:rowOff>45720</xdr:rowOff>
    </xdr:from>
    <xdr:to>
      <xdr:col>24</xdr:col>
      <xdr:colOff>358140</xdr:colOff>
      <xdr:row>91</xdr:row>
      <xdr:rowOff>45720</xdr:rowOff>
    </xdr:to>
    <xdr:graphicFrame macro="">
      <xdr:nvGraphicFramePr>
        <xdr:cNvPr id="13" name="Grafie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91440</xdr:colOff>
      <xdr:row>92</xdr:row>
      <xdr:rowOff>7620</xdr:rowOff>
    </xdr:from>
    <xdr:to>
      <xdr:col>16</xdr:col>
      <xdr:colOff>541020</xdr:colOff>
      <xdr:row>107</xdr:row>
      <xdr:rowOff>7620</xdr:rowOff>
    </xdr:to>
    <xdr:graphicFrame macro="">
      <xdr:nvGraphicFramePr>
        <xdr:cNvPr id="14" name="Grafiek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83820</xdr:colOff>
      <xdr:row>92</xdr:row>
      <xdr:rowOff>0</xdr:rowOff>
    </xdr:from>
    <xdr:to>
      <xdr:col>24</xdr:col>
      <xdr:colOff>388620</xdr:colOff>
      <xdr:row>107</xdr:row>
      <xdr:rowOff>0</xdr:rowOff>
    </xdr:to>
    <xdr:graphicFrame macro="">
      <xdr:nvGraphicFramePr>
        <xdr:cNvPr id="15" name="Grafiek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23</xdr:col>
      <xdr:colOff>161925</xdr:colOff>
      <xdr:row>12</xdr:row>
      <xdr:rowOff>104774</xdr:rowOff>
    </xdr:from>
    <xdr:to>
      <xdr:col>28</xdr:col>
      <xdr:colOff>285750</xdr:colOff>
      <xdr:row>31</xdr:row>
      <xdr:rowOff>171450</xdr:rowOff>
    </xdr:to>
    <xdr:graphicFrame macro="">
      <xdr:nvGraphicFramePr>
        <xdr:cNvPr id="16" name="Grafiek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xdr:colOff>
      <xdr:row>124</xdr:row>
      <xdr:rowOff>171449</xdr:rowOff>
    </xdr:from>
    <xdr:to>
      <xdr:col>16</xdr:col>
      <xdr:colOff>438150</xdr:colOff>
      <xdr:row>147</xdr:row>
      <xdr:rowOff>9525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57149</xdr:colOff>
      <xdr:row>133</xdr:row>
      <xdr:rowOff>152400</xdr:rowOff>
    </xdr:from>
    <xdr:to>
      <xdr:col>20</xdr:col>
      <xdr:colOff>371474</xdr:colOff>
      <xdr:row>154</xdr:row>
      <xdr:rowOff>133350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RR145"/>
  <sheetViews>
    <sheetView tabSelected="1" workbookViewId="0"/>
  </sheetViews>
  <sheetFormatPr defaultRowHeight="14.4"/>
  <cols>
    <col min="1" max="1" width="13.6640625" customWidth="1"/>
    <col min="2" max="2" width="6.109375" hidden="1" customWidth="1"/>
    <col min="3" max="487" width="10" customWidth="1"/>
  </cols>
  <sheetData>
    <row r="1" spans="1:486">
      <c r="A1" t="s">
        <v>0</v>
      </c>
      <c r="B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124</v>
      </c>
      <c r="DW1" t="s">
        <v>125</v>
      </c>
      <c r="DX1" t="s">
        <v>126</v>
      </c>
      <c r="DY1" t="s">
        <v>127</v>
      </c>
      <c r="DZ1" t="s">
        <v>128</v>
      </c>
      <c r="EA1" t="s">
        <v>129</v>
      </c>
      <c r="EB1" t="s">
        <v>130</v>
      </c>
      <c r="EC1" t="s">
        <v>131</v>
      </c>
      <c r="ED1" t="s">
        <v>132</v>
      </c>
      <c r="EE1" t="s">
        <v>133</v>
      </c>
      <c r="EF1" t="s">
        <v>134</v>
      </c>
      <c r="EG1" t="s">
        <v>135</v>
      </c>
      <c r="EH1" t="s">
        <v>136</v>
      </c>
      <c r="EI1" t="s">
        <v>137</v>
      </c>
      <c r="EJ1" t="s">
        <v>138</v>
      </c>
      <c r="EK1" t="s">
        <v>139</v>
      </c>
      <c r="EL1" t="s">
        <v>140</v>
      </c>
      <c r="EM1" t="s">
        <v>141</v>
      </c>
      <c r="EN1" t="s">
        <v>142</v>
      </c>
      <c r="EO1" t="s">
        <v>143</v>
      </c>
      <c r="EP1" t="s">
        <v>144</v>
      </c>
      <c r="EQ1" t="s">
        <v>145</v>
      </c>
      <c r="ER1" t="s">
        <v>146</v>
      </c>
      <c r="ES1" t="s">
        <v>147</v>
      </c>
      <c r="ET1" t="s">
        <v>148</v>
      </c>
      <c r="EU1" t="s">
        <v>149</v>
      </c>
      <c r="EV1" t="s">
        <v>150</v>
      </c>
      <c r="EW1" t="s">
        <v>151</v>
      </c>
      <c r="EX1" t="s">
        <v>152</v>
      </c>
      <c r="EY1" t="s">
        <v>153</v>
      </c>
      <c r="EZ1" t="s">
        <v>154</v>
      </c>
      <c r="FA1" t="s">
        <v>155</v>
      </c>
      <c r="FB1" t="s">
        <v>156</v>
      </c>
      <c r="FC1" t="s">
        <v>157</v>
      </c>
      <c r="FD1" t="s">
        <v>158</v>
      </c>
      <c r="FE1" t="s">
        <v>159</v>
      </c>
      <c r="FF1" t="s">
        <v>160</v>
      </c>
      <c r="FG1" t="s">
        <v>161</v>
      </c>
      <c r="FH1" t="s">
        <v>162</v>
      </c>
      <c r="FI1" t="s">
        <v>163</v>
      </c>
      <c r="FJ1" t="s">
        <v>164</v>
      </c>
      <c r="FK1" t="s">
        <v>165</v>
      </c>
      <c r="FL1" t="s">
        <v>166</v>
      </c>
      <c r="FM1" t="s">
        <v>167</v>
      </c>
      <c r="FN1" t="s">
        <v>168</v>
      </c>
      <c r="FO1" t="s">
        <v>169</v>
      </c>
      <c r="FP1" t="s">
        <v>170</v>
      </c>
      <c r="FQ1" t="s">
        <v>171</v>
      </c>
      <c r="FR1" t="s">
        <v>172</v>
      </c>
      <c r="FS1" t="s">
        <v>173</v>
      </c>
      <c r="FT1" t="s">
        <v>174</v>
      </c>
      <c r="FU1" t="s">
        <v>175</v>
      </c>
      <c r="FV1" t="s">
        <v>176</v>
      </c>
      <c r="FW1" t="s">
        <v>177</v>
      </c>
      <c r="FX1" t="s">
        <v>178</v>
      </c>
      <c r="FY1" t="s">
        <v>179</v>
      </c>
      <c r="FZ1" t="s">
        <v>180</v>
      </c>
      <c r="GA1" t="s">
        <v>181</v>
      </c>
      <c r="GB1" t="s">
        <v>182</v>
      </c>
      <c r="GC1" t="s">
        <v>183</v>
      </c>
      <c r="GD1" t="s">
        <v>184</v>
      </c>
      <c r="GE1" t="s">
        <v>185</v>
      </c>
      <c r="GF1" t="s">
        <v>186</v>
      </c>
      <c r="GG1" t="s">
        <v>187</v>
      </c>
      <c r="GH1" t="s">
        <v>188</v>
      </c>
      <c r="GI1" t="s">
        <v>189</v>
      </c>
      <c r="GJ1" t="s">
        <v>190</v>
      </c>
      <c r="GK1" t="s">
        <v>191</v>
      </c>
      <c r="GL1" t="s">
        <v>192</v>
      </c>
      <c r="GM1" t="s">
        <v>193</v>
      </c>
      <c r="GN1" t="s">
        <v>194</v>
      </c>
      <c r="GO1" t="s">
        <v>195</v>
      </c>
      <c r="GP1" t="s">
        <v>196</v>
      </c>
      <c r="GQ1" t="s">
        <v>197</v>
      </c>
      <c r="GR1" t="s">
        <v>198</v>
      </c>
      <c r="GS1" t="s">
        <v>199</v>
      </c>
      <c r="GT1" t="s">
        <v>200</v>
      </c>
      <c r="GU1" t="s">
        <v>201</v>
      </c>
      <c r="GV1" t="s">
        <v>202</v>
      </c>
      <c r="GW1" t="s">
        <v>203</v>
      </c>
      <c r="GX1" t="s">
        <v>204</v>
      </c>
      <c r="GY1" t="s">
        <v>205</v>
      </c>
      <c r="GZ1" t="s">
        <v>206</v>
      </c>
      <c r="HA1" t="s">
        <v>207</v>
      </c>
      <c r="HB1" t="s">
        <v>208</v>
      </c>
      <c r="HC1" t="s">
        <v>209</v>
      </c>
      <c r="HD1" t="s">
        <v>210</v>
      </c>
      <c r="HE1" t="s">
        <v>211</v>
      </c>
      <c r="HF1" t="s">
        <v>212</v>
      </c>
      <c r="HG1" t="s">
        <v>213</v>
      </c>
      <c r="HH1" t="s">
        <v>214</v>
      </c>
      <c r="HI1" t="s">
        <v>215</v>
      </c>
      <c r="HJ1" t="s">
        <v>216</v>
      </c>
      <c r="HK1" t="s">
        <v>217</v>
      </c>
      <c r="HL1" t="s">
        <v>218</v>
      </c>
      <c r="HM1" t="s">
        <v>219</v>
      </c>
      <c r="HN1" t="s">
        <v>220</v>
      </c>
      <c r="HO1" t="s">
        <v>221</v>
      </c>
      <c r="HP1" t="s">
        <v>222</v>
      </c>
      <c r="HQ1" t="s">
        <v>223</v>
      </c>
      <c r="HR1" t="s">
        <v>224</v>
      </c>
      <c r="HS1" t="s">
        <v>225</v>
      </c>
      <c r="HT1" t="s">
        <v>226</v>
      </c>
      <c r="HU1" t="s">
        <v>227</v>
      </c>
      <c r="HV1" t="s">
        <v>228</v>
      </c>
      <c r="HW1" t="s">
        <v>229</v>
      </c>
      <c r="HX1" t="s">
        <v>230</v>
      </c>
      <c r="HY1" t="s">
        <v>231</v>
      </c>
      <c r="HZ1" t="s">
        <v>232</v>
      </c>
      <c r="IA1" t="s">
        <v>233</v>
      </c>
      <c r="IB1" t="s">
        <v>234</v>
      </c>
      <c r="IC1" t="s">
        <v>235</v>
      </c>
      <c r="ID1" t="s">
        <v>236</v>
      </c>
      <c r="IE1" t="s">
        <v>237</v>
      </c>
      <c r="IF1" t="s">
        <v>238</v>
      </c>
      <c r="IG1" t="s">
        <v>239</v>
      </c>
      <c r="IH1" t="s">
        <v>240</v>
      </c>
      <c r="II1" t="s">
        <v>241</v>
      </c>
      <c r="IJ1" t="s">
        <v>242</v>
      </c>
      <c r="IK1" t="s">
        <v>243</v>
      </c>
      <c r="IL1" t="s">
        <v>244</v>
      </c>
      <c r="IM1" t="s">
        <v>245</v>
      </c>
      <c r="IN1" t="s">
        <v>246</v>
      </c>
      <c r="IO1" t="s">
        <v>247</v>
      </c>
      <c r="IP1" t="s">
        <v>248</v>
      </c>
      <c r="IQ1" t="s">
        <v>249</v>
      </c>
      <c r="IR1" t="s">
        <v>250</v>
      </c>
      <c r="IS1" t="s">
        <v>251</v>
      </c>
      <c r="IT1" t="s">
        <v>252</v>
      </c>
      <c r="IU1" t="s">
        <v>253</v>
      </c>
      <c r="IV1" t="s">
        <v>254</v>
      </c>
      <c r="IW1" t="s">
        <v>255</v>
      </c>
      <c r="IX1" t="s">
        <v>256</v>
      </c>
      <c r="IY1" t="s">
        <v>257</v>
      </c>
      <c r="IZ1" t="s">
        <v>258</v>
      </c>
      <c r="JA1" t="s">
        <v>259</v>
      </c>
      <c r="JB1" t="s">
        <v>260</v>
      </c>
      <c r="JC1" t="s">
        <v>261</v>
      </c>
      <c r="JD1" t="s">
        <v>262</v>
      </c>
      <c r="JE1" t="s">
        <v>263</v>
      </c>
      <c r="JF1" t="s">
        <v>264</v>
      </c>
      <c r="JG1" t="s">
        <v>265</v>
      </c>
      <c r="JH1" t="s">
        <v>266</v>
      </c>
      <c r="JI1" t="s">
        <v>267</v>
      </c>
      <c r="JJ1" t="s">
        <v>268</v>
      </c>
      <c r="JK1" t="s">
        <v>269</v>
      </c>
      <c r="JL1" t="s">
        <v>270</v>
      </c>
      <c r="JM1" t="s">
        <v>271</v>
      </c>
      <c r="JN1" t="s">
        <v>272</v>
      </c>
      <c r="JO1" t="s">
        <v>273</v>
      </c>
      <c r="JP1" t="s">
        <v>274</v>
      </c>
      <c r="JQ1" t="s">
        <v>275</v>
      </c>
      <c r="JR1" t="s">
        <v>276</v>
      </c>
      <c r="JS1" t="s">
        <v>277</v>
      </c>
      <c r="JT1" t="s">
        <v>278</v>
      </c>
      <c r="JU1" t="s">
        <v>279</v>
      </c>
      <c r="JV1" t="s">
        <v>280</v>
      </c>
      <c r="JW1" t="s">
        <v>281</v>
      </c>
      <c r="JX1" t="s">
        <v>282</v>
      </c>
      <c r="JY1" t="s">
        <v>283</v>
      </c>
      <c r="JZ1" t="s">
        <v>284</v>
      </c>
      <c r="KA1" t="s">
        <v>285</v>
      </c>
      <c r="KB1" t="s">
        <v>286</v>
      </c>
      <c r="KC1" t="s">
        <v>287</v>
      </c>
      <c r="KD1" t="s">
        <v>288</v>
      </c>
      <c r="KE1" t="s">
        <v>289</v>
      </c>
      <c r="KF1" t="s">
        <v>290</v>
      </c>
      <c r="KG1" t="s">
        <v>291</v>
      </c>
      <c r="KH1" t="s">
        <v>292</v>
      </c>
      <c r="KI1" t="s">
        <v>293</v>
      </c>
      <c r="KJ1" t="s">
        <v>294</v>
      </c>
      <c r="KK1" t="s">
        <v>295</v>
      </c>
      <c r="KL1" t="s">
        <v>296</v>
      </c>
      <c r="KM1" t="s">
        <v>297</v>
      </c>
      <c r="KN1" t="s">
        <v>298</v>
      </c>
      <c r="KO1" t="s">
        <v>299</v>
      </c>
      <c r="KP1" t="s">
        <v>300</v>
      </c>
      <c r="KQ1" t="s">
        <v>301</v>
      </c>
      <c r="KR1" t="s">
        <v>302</v>
      </c>
      <c r="KS1" t="s">
        <v>303</v>
      </c>
      <c r="KT1" t="s">
        <v>304</v>
      </c>
      <c r="KU1" t="s">
        <v>305</v>
      </c>
      <c r="KV1" t="s">
        <v>306</v>
      </c>
      <c r="KW1" t="s">
        <v>307</v>
      </c>
      <c r="KX1" t="s">
        <v>308</v>
      </c>
      <c r="KY1" t="s">
        <v>309</v>
      </c>
      <c r="KZ1" t="s">
        <v>310</v>
      </c>
      <c r="LA1" t="s">
        <v>311</v>
      </c>
      <c r="LB1" t="s">
        <v>312</v>
      </c>
      <c r="LC1" t="s">
        <v>313</v>
      </c>
      <c r="LD1" t="s">
        <v>314</v>
      </c>
      <c r="LE1" t="s">
        <v>315</v>
      </c>
      <c r="LF1" t="s">
        <v>316</v>
      </c>
      <c r="LG1" t="s">
        <v>317</v>
      </c>
      <c r="LH1" t="s">
        <v>318</v>
      </c>
      <c r="LI1" t="s">
        <v>319</v>
      </c>
      <c r="LJ1" t="s">
        <v>320</v>
      </c>
      <c r="LK1" t="s">
        <v>321</v>
      </c>
      <c r="LL1" t="s">
        <v>322</v>
      </c>
      <c r="LM1" t="s">
        <v>323</v>
      </c>
      <c r="LN1" t="s">
        <v>324</v>
      </c>
      <c r="LO1" t="s">
        <v>325</v>
      </c>
      <c r="LP1" t="s">
        <v>326</v>
      </c>
      <c r="LQ1" t="s">
        <v>327</v>
      </c>
      <c r="LR1" t="s">
        <v>328</v>
      </c>
      <c r="LS1" t="s">
        <v>329</v>
      </c>
      <c r="LT1" t="s">
        <v>330</v>
      </c>
      <c r="LU1" t="s">
        <v>331</v>
      </c>
      <c r="LV1" t="s">
        <v>332</v>
      </c>
      <c r="LW1" t="s">
        <v>333</v>
      </c>
      <c r="LX1" t="s">
        <v>334</v>
      </c>
      <c r="LY1" t="s">
        <v>335</v>
      </c>
      <c r="LZ1" t="s">
        <v>336</v>
      </c>
      <c r="MA1" t="s">
        <v>337</v>
      </c>
      <c r="MB1" t="s">
        <v>338</v>
      </c>
      <c r="MC1" t="s">
        <v>339</v>
      </c>
      <c r="MD1" t="s">
        <v>340</v>
      </c>
      <c r="ME1" t="s">
        <v>341</v>
      </c>
      <c r="MF1" t="s">
        <v>342</v>
      </c>
      <c r="MG1" t="s">
        <v>343</v>
      </c>
      <c r="MH1" t="s">
        <v>344</v>
      </c>
      <c r="MI1" t="s">
        <v>345</v>
      </c>
      <c r="MJ1" t="s">
        <v>346</v>
      </c>
      <c r="MK1" t="s">
        <v>347</v>
      </c>
      <c r="ML1" t="s">
        <v>348</v>
      </c>
      <c r="MM1" t="s">
        <v>349</v>
      </c>
      <c r="MN1" t="s">
        <v>350</v>
      </c>
      <c r="MO1" t="s">
        <v>351</v>
      </c>
      <c r="MP1" t="s">
        <v>352</v>
      </c>
      <c r="MQ1" t="s">
        <v>353</v>
      </c>
      <c r="MR1" t="s">
        <v>354</v>
      </c>
      <c r="MS1" t="s">
        <v>355</v>
      </c>
      <c r="MT1" t="s">
        <v>356</v>
      </c>
      <c r="MU1" t="s">
        <v>357</v>
      </c>
      <c r="MV1" t="s">
        <v>358</v>
      </c>
      <c r="MW1" t="s">
        <v>359</v>
      </c>
      <c r="MX1" t="s">
        <v>360</v>
      </c>
      <c r="MY1" t="s">
        <v>361</v>
      </c>
      <c r="MZ1" t="s">
        <v>362</v>
      </c>
      <c r="NA1" t="s">
        <v>363</v>
      </c>
      <c r="NB1" t="s">
        <v>364</v>
      </c>
      <c r="NC1" t="s">
        <v>365</v>
      </c>
      <c r="ND1" t="s">
        <v>366</v>
      </c>
      <c r="NE1" t="s">
        <v>367</v>
      </c>
      <c r="NF1" t="s">
        <v>368</v>
      </c>
      <c r="NG1" t="s">
        <v>369</v>
      </c>
      <c r="NH1" t="s">
        <v>370</v>
      </c>
      <c r="NI1" t="s">
        <v>371</v>
      </c>
      <c r="NJ1" t="s">
        <v>372</v>
      </c>
      <c r="NK1" t="s">
        <v>373</v>
      </c>
      <c r="NL1" t="s">
        <v>374</v>
      </c>
      <c r="NM1" t="s">
        <v>375</v>
      </c>
      <c r="NN1" t="s">
        <v>376</v>
      </c>
      <c r="NO1" t="s">
        <v>377</v>
      </c>
      <c r="NP1" t="s">
        <v>378</v>
      </c>
      <c r="NQ1" t="s">
        <v>379</v>
      </c>
      <c r="NR1" t="s">
        <v>380</v>
      </c>
      <c r="NS1" t="s">
        <v>381</v>
      </c>
      <c r="NT1" t="s">
        <v>382</v>
      </c>
      <c r="NU1" t="s">
        <v>383</v>
      </c>
      <c r="NV1" t="s">
        <v>384</v>
      </c>
      <c r="NW1" t="s">
        <v>385</v>
      </c>
      <c r="NX1" t="s">
        <v>386</v>
      </c>
      <c r="NY1" t="s">
        <v>387</v>
      </c>
      <c r="NZ1" t="s">
        <v>388</v>
      </c>
      <c r="OA1" t="s">
        <v>389</v>
      </c>
      <c r="OB1" t="s">
        <v>390</v>
      </c>
      <c r="OC1" t="s">
        <v>391</v>
      </c>
      <c r="OD1" t="s">
        <v>392</v>
      </c>
      <c r="OE1" t="s">
        <v>393</v>
      </c>
      <c r="OF1" t="s">
        <v>394</v>
      </c>
      <c r="OG1" t="s">
        <v>395</v>
      </c>
      <c r="OH1" t="s">
        <v>396</v>
      </c>
      <c r="OI1" t="s">
        <v>397</v>
      </c>
      <c r="OJ1" t="s">
        <v>398</v>
      </c>
      <c r="OK1" t="s">
        <v>399</v>
      </c>
      <c r="OL1" t="s">
        <v>400</v>
      </c>
      <c r="OM1" t="s">
        <v>401</v>
      </c>
      <c r="ON1" t="s">
        <v>402</v>
      </c>
      <c r="OO1" t="s">
        <v>403</v>
      </c>
      <c r="OP1" t="s">
        <v>404</v>
      </c>
      <c r="OQ1" t="s">
        <v>405</v>
      </c>
      <c r="OR1" t="s">
        <v>406</v>
      </c>
      <c r="OS1" t="s">
        <v>407</v>
      </c>
      <c r="OT1" t="s">
        <v>408</v>
      </c>
      <c r="OU1" t="s">
        <v>409</v>
      </c>
      <c r="OV1" t="s">
        <v>410</v>
      </c>
      <c r="OW1" t="s">
        <v>411</v>
      </c>
      <c r="OX1" t="s">
        <v>412</v>
      </c>
      <c r="OY1" t="s">
        <v>413</v>
      </c>
      <c r="OZ1" t="s">
        <v>414</v>
      </c>
      <c r="PA1" t="s">
        <v>415</v>
      </c>
      <c r="PB1" t="s">
        <v>416</v>
      </c>
      <c r="PC1" t="s">
        <v>417</v>
      </c>
      <c r="PD1" t="s">
        <v>418</v>
      </c>
      <c r="PE1" t="s">
        <v>419</v>
      </c>
      <c r="PF1" t="s">
        <v>420</v>
      </c>
      <c r="PG1" t="s">
        <v>421</v>
      </c>
      <c r="PH1" t="s">
        <v>422</v>
      </c>
      <c r="PI1" t="s">
        <v>423</v>
      </c>
      <c r="PJ1" t="s">
        <v>424</v>
      </c>
      <c r="PK1" t="s">
        <v>425</v>
      </c>
      <c r="PL1" t="s">
        <v>426</v>
      </c>
      <c r="PM1" t="s">
        <v>427</v>
      </c>
      <c r="PN1" t="s">
        <v>428</v>
      </c>
      <c r="PO1" t="s">
        <v>429</v>
      </c>
      <c r="PP1" t="s">
        <v>430</v>
      </c>
      <c r="PQ1" t="s">
        <v>431</v>
      </c>
      <c r="PR1" t="s">
        <v>432</v>
      </c>
      <c r="PS1" t="s">
        <v>433</v>
      </c>
      <c r="PT1" t="s">
        <v>434</v>
      </c>
      <c r="PU1" t="s">
        <v>435</v>
      </c>
      <c r="PV1" t="s">
        <v>436</v>
      </c>
      <c r="PW1" t="s">
        <v>437</v>
      </c>
      <c r="PX1" t="s">
        <v>438</v>
      </c>
      <c r="PY1" t="s">
        <v>439</v>
      </c>
      <c r="PZ1" t="s">
        <v>440</v>
      </c>
      <c r="QA1" t="s">
        <v>441</v>
      </c>
      <c r="QB1" t="s">
        <v>442</v>
      </c>
      <c r="QC1" t="s">
        <v>443</v>
      </c>
      <c r="QD1" t="s">
        <v>444</v>
      </c>
      <c r="QE1" t="s">
        <v>445</v>
      </c>
      <c r="QF1" t="s">
        <v>446</v>
      </c>
      <c r="QG1" t="s">
        <v>447</v>
      </c>
      <c r="QH1" t="s">
        <v>448</v>
      </c>
      <c r="QI1" t="s">
        <v>449</v>
      </c>
      <c r="QJ1" t="s">
        <v>450</v>
      </c>
      <c r="QK1" t="s">
        <v>451</v>
      </c>
      <c r="QL1" t="s">
        <v>452</v>
      </c>
      <c r="QM1" t="s">
        <v>453</v>
      </c>
      <c r="QN1" t="s">
        <v>454</v>
      </c>
      <c r="QO1" t="s">
        <v>455</v>
      </c>
      <c r="QP1" t="s">
        <v>456</v>
      </c>
      <c r="QQ1" t="s">
        <v>457</v>
      </c>
      <c r="QR1" t="s">
        <v>458</v>
      </c>
      <c r="QS1" t="s">
        <v>459</v>
      </c>
      <c r="QT1" t="s">
        <v>460</v>
      </c>
      <c r="QU1" t="s">
        <v>461</v>
      </c>
      <c r="QV1" t="s">
        <v>462</v>
      </c>
      <c r="QW1" t="s">
        <v>463</v>
      </c>
      <c r="QX1" t="s">
        <v>464</v>
      </c>
      <c r="QY1" t="s">
        <v>465</v>
      </c>
      <c r="QZ1" t="s">
        <v>466</v>
      </c>
      <c r="RA1" t="s">
        <v>467</v>
      </c>
      <c r="RB1" t="s">
        <v>468</v>
      </c>
      <c r="RC1" t="s">
        <v>469</v>
      </c>
      <c r="RD1" t="s">
        <v>470</v>
      </c>
      <c r="RE1" t="s">
        <v>471</v>
      </c>
      <c r="RF1" t="s">
        <v>472</v>
      </c>
      <c r="RG1" t="s">
        <v>473</v>
      </c>
      <c r="RH1" t="s">
        <v>474</v>
      </c>
      <c r="RI1" t="s">
        <v>475</v>
      </c>
      <c r="RJ1" t="s">
        <v>476</v>
      </c>
      <c r="RK1" t="s">
        <v>477</v>
      </c>
      <c r="RL1" t="s">
        <v>478</v>
      </c>
      <c r="RM1" t="s">
        <v>479</v>
      </c>
      <c r="RN1" t="s">
        <v>480</v>
      </c>
      <c r="RO1" t="s">
        <v>481</v>
      </c>
      <c r="RP1" t="s">
        <v>482</v>
      </c>
      <c r="RQ1" t="s">
        <v>483</v>
      </c>
      <c r="RR1" t="s">
        <v>484</v>
      </c>
    </row>
    <row r="2" spans="1:486">
      <c r="A2" t="s">
        <v>646</v>
      </c>
      <c r="B2" t="s">
        <v>647</v>
      </c>
      <c r="C2" t="s">
        <v>971</v>
      </c>
      <c r="D2" t="s">
        <v>648</v>
      </c>
      <c r="E2" t="s">
        <v>649</v>
      </c>
      <c r="F2" t="s">
        <v>650</v>
      </c>
      <c r="G2" t="s">
        <v>651</v>
      </c>
      <c r="H2" t="s">
        <v>652</v>
      </c>
      <c r="I2" t="s">
        <v>653</v>
      </c>
      <c r="J2" t="s">
        <v>654</v>
      </c>
      <c r="K2" t="s">
        <v>655</v>
      </c>
      <c r="L2" t="s">
        <v>656</v>
      </c>
      <c r="M2" t="s">
        <v>657</v>
      </c>
      <c r="N2" t="s">
        <v>658</v>
      </c>
      <c r="O2" t="s">
        <v>659</v>
      </c>
      <c r="P2" t="s">
        <v>660</v>
      </c>
      <c r="Q2" t="s">
        <v>661</v>
      </c>
      <c r="R2" t="s">
        <v>662</v>
      </c>
      <c r="S2" t="s">
        <v>663</v>
      </c>
      <c r="T2" t="s">
        <v>664</v>
      </c>
      <c r="U2" t="s">
        <v>665</v>
      </c>
      <c r="V2" t="s">
        <v>666</v>
      </c>
      <c r="W2" t="s">
        <v>667</v>
      </c>
      <c r="X2" t="s">
        <v>665</v>
      </c>
      <c r="Y2" t="s">
        <v>666</v>
      </c>
      <c r="Z2" t="s">
        <v>668</v>
      </c>
      <c r="AA2" t="s">
        <v>665</v>
      </c>
      <c r="AB2" t="s">
        <v>666</v>
      </c>
      <c r="AC2" t="s">
        <v>669</v>
      </c>
      <c r="AD2" t="s">
        <v>665</v>
      </c>
      <c r="AE2" t="s">
        <v>666</v>
      </c>
      <c r="AF2" t="s">
        <v>670</v>
      </c>
      <c r="AG2" t="s">
        <v>665</v>
      </c>
      <c r="AH2" t="s">
        <v>666</v>
      </c>
      <c r="AI2" t="s">
        <v>671</v>
      </c>
      <c r="AJ2" t="s">
        <v>665</v>
      </c>
      <c r="AK2" t="s">
        <v>666</v>
      </c>
      <c r="AL2" t="s">
        <v>672</v>
      </c>
      <c r="AM2" t="s">
        <v>665</v>
      </c>
      <c r="AN2" t="s">
        <v>666</v>
      </c>
      <c r="AO2" t="s">
        <v>673</v>
      </c>
      <c r="AP2" t="s">
        <v>665</v>
      </c>
      <c r="AQ2" t="s">
        <v>666</v>
      </c>
      <c r="AR2" t="s">
        <v>674</v>
      </c>
      <c r="AS2" t="s">
        <v>665</v>
      </c>
      <c r="AT2" t="s">
        <v>666</v>
      </c>
      <c r="AU2" t="s">
        <v>675</v>
      </c>
      <c r="AV2" t="s">
        <v>665</v>
      </c>
      <c r="AW2" t="s">
        <v>666</v>
      </c>
      <c r="AX2" t="s">
        <v>676</v>
      </c>
      <c r="AY2" t="s">
        <v>665</v>
      </c>
      <c r="AZ2" t="s">
        <v>666</v>
      </c>
      <c r="BA2" t="s">
        <v>677</v>
      </c>
      <c r="BB2" t="s">
        <v>665</v>
      </c>
      <c r="BC2" t="s">
        <v>666</v>
      </c>
      <c r="BD2" t="s">
        <v>678</v>
      </c>
      <c r="BE2" t="s">
        <v>665</v>
      </c>
      <c r="BF2" t="s">
        <v>666</v>
      </c>
      <c r="BG2" t="s">
        <v>679</v>
      </c>
      <c r="BH2" t="s">
        <v>665</v>
      </c>
      <c r="BI2" t="s">
        <v>666</v>
      </c>
      <c r="BJ2" t="s">
        <v>680</v>
      </c>
      <c r="BK2" t="s">
        <v>665</v>
      </c>
      <c r="BL2" t="s">
        <v>666</v>
      </c>
      <c r="BM2" t="s">
        <v>681</v>
      </c>
      <c r="BN2" t="s">
        <v>665</v>
      </c>
      <c r="BO2" t="s">
        <v>666</v>
      </c>
      <c r="BP2" t="s">
        <v>682</v>
      </c>
      <c r="BQ2" t="s">
        <v>665</v>
      </c>
      <c r="BR2" t="s">
        <v>666</v>
      </c>
      <c r="BS2" t="s">
        <v>683</v>
      </c>
      <c r="BT2" t="s">
        <v>665</v>
      </c>
      <c r="BU2" t="s">
        <v>666</v>
      </c>
      <c r="BV2" t="s">
        <v>684</v>
      </c>
      <c r="BW2" t="s">
        <v>665</v>
      </c>
      <c r="BX2" t="s">
        <v>666</v>
      </c>
      <c r="BY2" t="s">
        <v>685</v>
      </c>
      <c r="BZ2" t="s">
        <v>665</v>
      </c>
      <c r="CA2" t="s">
        <v>666</v>
      </c>
      <c r="CB2" t="s">
        <v>686</v>
      </c>
      <c r="CC2" t="s">
        <v>665</v>
      </c>
      <c r="CD2" t="s">
        <v>666</v>
      </c>
      <c r="CE2" t="s">
        <v>687</v>
      </c>
      <c r="CF2" t="s">
        <v>665</v>
      </c>
      <c r="CG2" t="s">
        <v>666</v>
      </c>
      <c r="CH2" t="s">
        <v>688</v>
      </c>
      <c r="CI2" t="s">
        <v>665</v>
      </c>
      <c r="CJ2" t="s">
        <v>666</v>
      </c>
      <c r="CK2" t="s">
        <v>689</v>
      </c>
      <c r="CL2" t="s">
        <v>665</v>
      </c>
      <c r="CM2" t="s">
        <v>666</v>
      </c>
      <c r="CN2" t="s">
        <v>690</v>
      </c>
      <c r="CO2" t="s">
        <v>665</v>
      </c>
      <c r="CP2" t="s">
        <v>666</v>
      </c>
      <c r="CQ2" t="s">
        <v>691</v>
      </c>
      <c r="CR2" t="s">
        <v>665</v>
      </c>
      <c r="CS2" t="s">
        <v>666</v>
      </c>
      <c r="CT2" t="s">
        <v>692</v>
      </c>
      <c r="CU2" t="s">
        <v>665</v>
      </c>
      <c r="CV2" t="s">
        <v>666</v>
      </c>
      <c r="CW2" t="s">
        <v>693</v>
      </c>
      <c r="CX2" t="s">
        <v>665</v>
      </c>
      <c r="CY2" t="s">
        <v>666</v>
      </c>
      <c r="CZ2" t="s">
        <v>694</v>
      </c>
      <c r="DA2" t="s">
        <v>665</v>
      </c>
      <c r="DB2" t="s">
        <v>666</v>
      </c>
      <c r="DC2" t="s">
        <v>695</v>
      </c>
      <c r="DD2" t="s">
        <v>665</v>
      </c>
      <c r="DE2" t="s">
        <v>666</v>
      </c>
      <c r="DF2" t="s">
        <v>696</v>
      </c>
      <c r="DG2" t="s">
        <v>665</v>
      </c>
      <c r="DH2" t="s">
        <v>666</v>
      </c>
      <c r="DI2" t="s">
        <v>697</v>
      </c>
      <c r="DJ2" t="s">
        <v>665</v>
      </c>
      <c r="DK2" t="s">
        <v>666</v>
      </c>
      <c r="DL2" t="s">
        <v>698</v>
      </c>
      <c r="DM2" t="s">
        <v>665</v>
      </c>
      <c r="DN2" t="s">
        <v>666</v>
      </c>
      <c r="DO2" t="s">
        <v>699</v>
      </c>
      <c r="DP2" t="s">
        <v>665</v>
      </c>
      <c r="DQ2" t="s">
        <v>666</v>
      </c>
      <c r="DR2" t="s">
        <v>700</v>
      </c>
      <c r="DS2" t="s">
        <v>665</v>
      </c>
      <c r="DT2" t="s">
        <v>666</v>
      </c>
      <c r="DU2" t="s">
        <v>701</v>
      </c>
      <c r="DV2" t="s">
        <v>665</v>
      </c>
      <c r="DW2" t="s">
        <v>666</v>
      </c>
      <c r="DX2" t="s">
        <v>702</v>
      </c>
      <c r="DY2" t="s">
        <v>665</v>
      </c>
      <c r="DZ2" t="s">
        <v>666</v>
      </c>
      <c r="EA2" t="s">
        <v>703</v>
      </c>
      <c r="EB2" t="s">
        <v>665</v>
      </c>
      <c r="EC2" t="s">
        <v>666</v>
      </c>
      <c r="ED2" t="s">
        <v>704</v>
      </c>
      <c r="EE2" t="s">
        <v>665</v>
      </c>
      <c r="EF2" t="s">
        <v>666</v>
      </c>
      <c r="EG2" t="s">
        <v>705</v>
      </c>
      <c r="EH2" t="s">
        <v>665</v>
      </c>
      <c r="EI2" t="s">
        <v>666</v>
      </c>
      <c r="EJ2" t="s">
        <v>706</v>
      </c>
      <c r="EK2" t="s">
        <v>665</v>
      </c>
      <c r="EL2" t="s">
        <v>666</v>
      </c>
      <c r="EM2" t="s">
        <v>707</v>
      </c>
      <c r="EN2" t="s">
        <v>665</v>
      </c>
      <c r="EO2" t="s">
        <v>666</v>
      </c>
      <c r="EP2" t="s">
        <v>708</v>
      </c>
      <c r="EQ2" t="s">
        <v>665</v>
      </c>
      <c r="ER2" t="s">
        <v>666</v>
      </c>
      <c r="ES2" t="s">
        <v>709</v>
      </c>
      <c r="ET2" t="s">
        <v>665</v>
      </c>
      <c r="EU2" t="s">
        <v>666</v>
      </c>
      <c r="EV2" t="s">
        <v>710</v>
      </c>
      <c r="EW2" t="s">
        <v>665</v>
      </c>
      <c r="EX2" t="s">
        <v>666</v>
      </c>
      <c r="EY2" t="s">
        <v>711</v>
      </c>
      <c r="EZ2" t="s">
        <v>712</v>
      </c>
      <c r="FA2" t="s">
        <v>713</v>
      </c>
      <c r="FB2" t="s">
        <v>714</v>
      </c>
      <c r="FC2" t="s">
        <v>715</v>
      </c>
      <c r="FD2" t="s">
        <v>716</v>
      </c>
      <c r="FE2" t="s">
        <v>717</v>
      </c>
      <c r="FF2" t="s">
        <v>718</v>
      </c>
      <c r="FG2" t="s">
        <v>719</v>
      </c>
      <c r="FH2" t="s">
        <v>720</v>
      </c>
      <c r="FI2" t="s">
        <v>721</v>
      </c>
      <c r="FJ2" t="s">
        <v>722</v>
      </c>
      <c r="FK2" t="s">
        <v>723</v>
      </c>
      <c r="FL2" t="s">
        <v>724</v>
      </c>
      <c r="FM2" t="s">
        <v>725</v>
      </c>
      <c r="FN2" t="s">
        <v>726</v>
      </c>
      <c r="FO2" t="s">
        <v>727</v>
      </c>
      <c r="FP2" t="s">
        <v>728</v>
      </c>
      <c r="FQ2" t="s">
        <v>729</v>
      </c>
      <c r="FR2" t="s">
        <v>730</v>
      </c>
      <c r="FS2" t="s">
        <v>731</v>
      </c>
      <c r="FT2" t="s">
        <v>732</v>
      </c>
      <c r="FU2" t="s">
        <v>733</v>
      </c>
      <c r="FV2" t="s">
        <v>734</v>
      </c>
      <c r="FW2" t="s">
        <v>735</v>
      </c>
      <c r="FX2" t="s">
        <v>736</v>
      </c>
      <c r="FY2" t="s">
        <v>720</v>
      </c>
      <c r="FZ2" t="s">
        <v>722</v>
      </c>
      <c r="GA2" t="s">
        <v>724</v>
      </c>
      <c r="GB2" t="s">
        <v>726</v>
      </c>
      <c r="GC2" t="s">
        <v>737</v>
      </c>
      <c r="GD2" t="s">
        <v>730</v>
      </c>
      <c r="GE2" t="s">
        <v>738</v>
      </c>
      <c r="GF2" t="s">
        <v>734</v>
      </c>
      <c r="GG2" t="s">
        <v>739</v>
      </c>
      <c r="GH2" t="s">
        <v>739</v>
      </c>
      <c r="GI2" t="s">
        <v>739</v>
      </c>
      <c r="GJ2" t="s">
        <v>740</v>
      </c>
      <c r="GK2" t="s">
        <v>740</v>
      </c>
      <c r="GL2" t="s">
        <v>740</v>
      </c>
      <c r="GM2" t="s">
        <v>741</v>
      </c>
      <c r="GN2" t="s">
        <v>741</v>
      </c>
      <c r="GO2" t="s">
        <v>741</v>
      </c>
      <c r="GP2" t="s">
        <v>742</v>
      </c>
      <c r="GQ2" t="s">
        <v>742</v>
      </c>
      <c r="GR2" t="s">
        <v>742</v>
      </c>
      <c r="GS2" t="s">
        <v>743</v>
      </c>
      <c r="GT2" t="s">
        <v>743</v>
      </c>
      <c r="GU2" t="s">
        <v>743</v>
      </c>
      <c r="GV2" t="s">
        <v>744</v>
      </c>
      <c r="GW2" t="s">
        <v>744</v>
      </c>
      <c r="GX2" t="s">
        <v>744</v>
      </c>
      <c r="GY2" t="s">
        <v>745</v>
      </c>
      <c r="GZ2" t="s">
        <v>745</v>
      </c>
      <c r="HA2" t="s">
        <v>745</v>
      </c>
      <c r="HB2" t="s">
        <v>746</v>
      </c>
      <c r="HC2" t="s">
        <v>746</v>
      </c>
      <c r="HD2" t="s">
        <v>746</v>
      </c>
      <c r="HE2" t="s">
        <v>747</v>
      </c>
      <c r="HF2" t="s">
        <v>747</v>
      </c>
      <c r="HG2" t="s">
        <v>747</v>
      </c>
      <c r="HH2" t="s">
        <v>748</v>
      </c>
      <c r="HI2" t="s">
        <v>748</v>
      </c>
      <c r="HJ2" t="s">
        <v>748</v>
      </c>
      <c r="HK2" t="s">
        <v>749</v>
      </c>
      <c r="HL2" t="s">
        <v>750</v>
      </c>
      <c r="HM2" t="s">
        <v>751</v>
      </c>
      <c r="HN2" t="s">
        <v>752</v>
      </c>
      <c r="HO2" t="s">
        <v>753</v>
      </c>
      <c r="HP2" t="s">
        <v>754</v>
      </c>
      <c r="HQ2" t="s">
        <v>755</v>
      </c>
      <c r="HR2" t="s">
        <v>756</v>
      </c>
      <c r="HS2" t="s">
        <v>757</v>
      </c>
      <c r="HT2" t="s">
        <v>758</v>
      </c>
      <c r="HU2" t="s">
        <v>759</v>
      </c>
      <c r="HV2" t="s">
        <v>760</v>
      </c>
      <c r="HW2" t="s">
        <v>761</v>
      </c>
      <c r="HX2" t="s">
        <v>762</v>
      </c>
      <c r="HY2" t="s">
        <v>763</v>
      </c>
      <c r="HZ2" t="s">
        <v>764</v>
      </c>
      <c r="IA2" t="s">
        <v>757</v>
      </c>
      <c r="IB2" t="s">
        <v>765</v>
      </c>
      <c r="IC2" t="s">
        <v>759</v>
      </c>
      <c r="ID2" t="s">
        <v>760</v>
      </c>
      <c r="IE2" t="s">
        <v>761</v>
      </c>
      <c r="IF2" t="s">
        <v>762</v>
      </c>
      <c r="IG2" t="s">
        <v>763</v>
      </c>
      <c r="IH2" t="s">
        <v>764</v>
      </c>
      <c r="II2" t="s">
        <v>766</v>
      </c>
      <c r="IJ2" t="s">
        <v>766</v>
      </c>
      <c r="IK2" t="s">
        <v>766</v>
      </c>
      <c r="IL2" t="s">
        <v>767</v>
      </c>
      <c r="IM2" t="s">
        <v>767</v>
      </c>
      <c r="IN2" t="s">
        <v>767</v>
      </c>
      <c r="IO2" t="s">
        <v>768</v>
      </c>
      <c r="IP2" t="s">
        <v>768</v>
      </c>
      <c r="IQ2" t="s">
        <v>768</v>
      </c>
      <c r="IR2" t="s">
        <v>769</v>
      </c>
      <c r="IS2" t="s">
        <v>769</v>
      </c>
      <c r="IT2" t="s">
        <v>769</v>
      </c>
      <c r="IU2" t="s">
        <v>770</v>
      </c>
      <c r="IV2" t="s">
        <v>770</v>
      </c>
      <c r="IW2" t="s">
        <v>770</v>
      </c>
      <c r="IX2" t="s">
        <v>771</v>
      </c>
      <c r="IY2" t="s">
        <v>771</v>
      </c>
      <c r="IZ2" t="s">
        <v>771</v>
      </c>
      <c r="JA2" t="s">
        <v>772</v>
      </c>
      <c r="JB2" t="s">
        <v>772</v>
      </c>
      <c r="JC2" t="s">
        <v>772</v>
      </c>
      <c r="JD2" t="s">
        <v>773</v>
      </c>
      <c r="JE2" t="s">
        <v>773</v>
      </c>
      <c r="JF2" t="s">
        <v>773</v>
      </c>
      <c r="JG2" t="s">
        <v>774</v>
      </c>
      <c r="JH2" t="s">
        <v>775</v>
      </c>
      <c r="JI2" t="s">
        <v>776</v>
      </c>
      <c r="JJ2" t="s">
        <v>777</v>
      </c>
      <c r="JK2" t="s">
        <v>778</v>
      </c>
      <c r="JL2" t="s">
        <v>779</v>
      </c>
      <c r="JM2" t="s">
        <v>780</v>
      </c>
      <c r="JN2" t="s">
        <v>781</v>
      </c>
      <c r="JO2" t="s">
        <v>782</v>
      </c>
      <c r="JP2" t="s">
        <v>779</v>
      </c>
      <c r="JQ2" t="s">
        <v>783</v>
      </c>
      <c r="JR2" t="s">
        <v>781</v>
      </c>
      <c r="JS2" t="s">
        <v>784</v>
      </c>
      <c r="JT2" t="s">
        <v>784</v>
      </c>
      <c r="JU2" t="s">
        <v>784</v>
      </c>
      <c r="JV2" t="s">
        <v>785</v>
      </c>
      <c r="JW2" t="s">
        <v>785</v>
      </c>
      <c r="JX2" t="s">
        <v>785</v>
      </c>
      <c r="JY2" t="s">
        <v>786</v>
      </c>
      <c r="JZ2" t="s">
        <v>786</v>
      </c>
      <c r="KA2" t="s">
        <v>786</v>
      </c>
      <c r="KB2" t="s">
        <v>787</v>
      </c>
      <c r="KC2" t="s">
        <v>787</v>
      </c>
      <c r="KD2" t="s">
        <v>787</v>
      </c>
      <c r="KE2" t="s">
        <v>788</v>
      </c>
      <c r="KF2" t="s">
        <v>789</v>
      </c>
      <c r="KG2" t="s">
        <v>790</v>
      </c>
      <c r="KH2" t="s">
        <v>791</v>
      </c>
      <c r="KI2" t="s">
        <v>792</v>
      </c>
      <c r="KJ2" t="s">
        <v>793</v>
      </c>
      <c r="KK2" t="s">
        <v>794</v>
      </c>
      <c r="KL2" t="s">
        <v>795</v>
      </c>
      <c r="KM2" t="s">
        <v>796</v>
      </c>
      <c r="KN2" t="s">
        <v>797</v>
      </c>
      <c r="KO2" t="s">
        <v>798</v>
      </c>
      <c r="KP2" t="s">
        <v>798</v>
      </c>
      <c r="KQ2" t="s">
        <v>798</v>
      </c>
      <c r="KR2" t="s">
        <v>799</v>
      </c>
      <c r="KS2" t="s">
        <v>799</v>
      </c>
      <c r="KT2" t="s">
        <v>799</v>
      </c>
      <c r="KU2" t="s">
        <v>800</v>
      </c>
      <c r="KV2" t="s">
        <v>800</v>
      </c>
      <c r="KW2" t="s">
        <v>800</v>
      </c>
      <c r="KX2" t="s">
        <v>801</v>
      </c>
      <c r="KY2" t="s">
        <v>801</v>
      </c>
      <c r="KZ2" t="s">
        <v>801</v>
      </c>
      <c r="LA2" t="s">
        <v>802</v>
      </c>
      <c r="LB2" t="s">
        <v>802</v>
      </c>
      <c r="LC2" t="s">
        <v>802</v>
      </c>
      <c r="LD2" t="s">
        <v>803</v>
      </c>
      <c r="LE2" t="s">
        <v>804</v>
      </c>
      <c r="LF2" t="s">
        <v>805</v>
      </c>
      <c r="LG2" t="s">
        <v>806</v>
      </c>
      <c r="LH2" t="s">
        <v>807</v>
      </c>
      <c r="LI2" t="s">
        <v>807</v>
      </c>
      <c r="LJ2" t="s">
        <v>807</v>
      </c>
      <c r="LK2" t="s">
        <v>808</v>
      </c>
      <c r="LL2" t="s">
        <v>808</v>
      </c>
      <c r="LM2" t="s">
        <v>808</v>
      </c>
      <c r="LN2" t="s">
        <v>809</v>
      </c>
      <c r="LO2" t="s">
        <v>810</v>
      </c>
      <c r="LP2" t="s">
        <v>811</v>
      </c>
      <c r="LQ2" t="s">
        <v>812</v>
      </c>
      <c r="LR2" t="s">
        <v>813</v>
      </c>
      <c r="LS2" t="s">
        <v>813</v>
      </c>
      <c r="LT2" t="s">
        <v>813</v>
      </c>
      <c r="LU2" t="s">
        <v>814</v>
      </c>
      <c r="LV2" t="s">
        <v>814</v>
      </c>
      <c r="LW2" t="s">
        <v>814</v>
      </c>
      <c r="LX2" t="s">
        <v>815</v>
      </c>
      <c r="LY2" t="s">
        <v>815</v>
      </c>
      <c r="LZ2" t="s">
        <v>815</v>
      </c>
      <c r="MA2" t="s">
        <v>816</v>
      </c>
      <c r="MB2" t="s">
        <v>816</v>
      </c>
      <c r="MC2" t="s">
        <v>816</v>
      </c>
      <c r="MD2" t="s">
        <v>817</v>
      </c>
      <c r="ME2" t="s">
        <v>818</v>
      </c>
      <c r="MF2" t="s">
        <v>819</v>
      </c>
      <c r="MG2" t="s">
        <v>820</v>
      </c>
      <c r="MH2" t="s">
        <v>821</v>
      </c>
      <c r="MI2" t="s">
        <v>822</v>
      </c>
      <c r="MJ2" t="s">
        <v>823</v>
      </c>
      <c r="MK2" t="s">
        <v>824</v>
      </c>
      <c r="ML2" t="s">
        <v>825</v>
      </c>
      <c r="MM2" t="s">
        <v>826</v>
      </c>
      <c r="MN2" t="s">
        <v>827</v>
      </c>
      <c r="MO2" t="s">
        <v>828</v>
      </c>
      <c r="MP2" t="s">
        <v>829</v>
      </c>
      <c r="MQ2" t="s">
        <v>830</v>
      </c>
      <c r="MR2" t="s">
        <v>831</v>
      </c>
      <c r="MS2" t="s">
        <v>832</v>
      </c>
      <c r="MT2" t="s">
        <v>827</v>
      </c>
      <c r="MU2" t="s">
        <v>828</v>
      </c>
      <c r="MV2" t="s">
        <v>829</v>
      </c>
      <c r="MW2" t="s">
        <v>830</v>
      </c>
      <c r="MX2" t="s">
        <v>831</v>
      </c>
      <c r="MY2" t="s">
        <v>832</v>
      </c>
      <c r="MZ2" t="s">
        <v>833</v>
      </c>
      <c r="NA2" t="s">
        <v>834</v>
      </c>
      <c r="NB2" t="s">
        <v>835</v>
      </c>
      <c r="NC2" t="s">
        <v>836</v>
      </c>
      <c r="ND2" t="s">
        <v>837</v>
      </c>
      <c r="NE2" t="s">
        <v>838</v>
      </c>
      <c r="NF2" t="s">
        <v>839</v>
      </c>
      <c r="NG2" t="s">
        <v>840</v>
      </c>
      <c r="NH2" t="s">
        <v>841</v>
      </c>
      <c r="NI2" t="s">
        <v>842</v>
      </c>
      <c r="NJ2" t="s">
        <v>843</v>
      </c>
      <c r="NK2" t="s">
        <v>844</v>
      </c>
      <c r="NL2" t="s">
        <v>845</v>
      </c>
      <c r="NM2" t="s">
        <v>846</v>
      </c>
      <c r="NN2" t="s">
        <v>847</v>
      </c>
      <c r="NO2" t="s">
        <v>848</v>
      </c>
      <c r="NP2" t="s">
        <v>849</v>
      </c>
      <c r="NQ2" t="s">
        <v>849</v>
      </c>
      <c r="NR2" t="s">
        <v>849</v>
      </c>
      <c r="NS2" t="s">
        <v>850</v>
      </c>
      <c r="NT2" t="s">
        <v>850</v>
      </c>
      <c r="NU2" t="s">
        <v>850</v>
      </c>
      <c r="NV2" t="s">
        <v>851</v>
      </c>
      <c r="NW2" t="s">
        <v>851</v>
      </c>
      <c r="NX2" t="s">
        <v>851</v>
      </c>
      <c r="NY2" t="s">
        <v>852</v>
      </c>
      <c r="NZ2" t="s">
        <v>852</v>
      </c>
      <c r="OA2" t="s">
        <v>852</v>
      </c>
      <c r="OB2" t="s">
        <v>853</v>
      </c>
      <c r="OC2" t="s">
        <v>853</v>
      </c>
      <c r="OD2" t="s">
        <v>853</v>
      </c>
      <c r="OE2" t="s">
        <v>854</v>
      </c>
      <c r="OF2" t="s">
        <v>854</v>
      </c>
      <c r="OG2" t="s">
        <v>854</v>
      </c>
      <c r="OH2" t="s">
        <v>855</v>
      </c>
      <c r="OI2" t="s">
        <v>856</v>
      </c>
      <c r="OJ2" t="s">
        <v>857</v>
      </c>
      <c r="OK2" t="s">
        <v>858</v>
      </c>
      <c r="OL2" t="s">
        <v>859</v>
      </c>
      <c r="OM2" t="s">
        <v>860</v>
      </c>
      <c r="ON2" t="s">
        <v>861</v>
      </c>
      <c r="OO2" t="s">
        <v>862</v>
      </c>
      <c r="OP2" t="s">
        <v>863</v>
      </c>
      <c r="OQ2" t="s">
        <v>864</v>
      </c>
      <c r="OR2" t="s">
        <v>865</v>
      </c>
      <c r="OS2" t="s">
        <v>866</v>
      </c>
      <c r="OT2" t="s">
        <v>867</v>
      </c>
      <c r="OU2" t="s">
        <v>868</v>
      </c>
      <c r="OV2" t="s">
        <v>869</v>
      </c>
      <c r="OW2" t="s">
        <v>870</v>
      </c>
      <c r="OX2" t="s">
        <v>870</v>
      </c>
      <c r="OY2" t="s">
        <v>871</v>
      </c>
      <c r="OZ2" t="s">
        <v>872</v>
      </c>
      <c r="PA2" t="s">
        <v>873</v>
      </c>
      <c r="PB2" t="s">
        <v>874</v>
      </c>
      <c r="PC2" t="s">
        <v>875</v>
      </c>
      <c r="PD2" t="s">
        <v>876</v>
      </c>
      <c r="PE2" t="s">
        <v>877</v>
      </c>
      <c r="PF2" t="s">
        <v>878</v>
      </c>
      <c r="PG2" t="s">
        <v>879</v>
      </c>
      <c r="PH2" t="s">
        <v>880</v>
      </c>
      <c r="PI2" t="s">
        <v>881</v>
      </c>
      <c r="PJ2" t="s">
        <v>882</v>
      </c>
      <c r="PK2" t="s">
        <v>883</v>
      </c>
      <c r="PL2" t="s">
        <v>884</v>
      </c>
      <c r="PM2" t="s">
        <v>885</v>
      </c>
      <c r="PN2" t="s">
        <v>886</v>
      </c>
      <c r="PO2" t="s">
        <v>887</v>
      </c>
      <c r="PP2" t="s">
        <v>888</v>
      </c>
      <c r="PQ2" t="s">
        <v>889</v>
      </c>
      <c r="PR2" t="s">
        <v>890</v>
      </c>
      <c r="PS2" t="s">
        <v>891</v>
      </c>
      <c r="PT2" t="s">
        <v>892</v>
      </c>
      <c r="PU2" t="s">
        <v>893</v>
      </c>
      <c r="PV2" t="s">
        <v>894</v>
      </c>
      <c r="PW2" t="s">
        <v>895</v>
      </c>
      <c r="PY2" t="s">
        <v>896</v>
      </c>
      <c r="PZ2" t="s">
        <v>896</v>
      </c>
      <c r="QA2" t="s">
        <v>897</v>
      </c>
      <c r="QB2" t="s">
        <v>898</v>
      </c>
      <c r="QC2" t="s">
        <v>899</v>
      </c>
      <c r="QD2" t="s">
        <v>900</v>
      </c>
      <c r="QE2" t="s">
        <v>901</v>
      </c>
      <c r="QF2" t="s">
        <v>902</v>
      </c>
      <c r="QG2" t="s">
        <v>903</v>
      </c>
      <c r="QH2" t="s">
        <v>904</v>
      </c>
      <c r="QI2" t="s">
        <v>905</v>
      </c>
      <c r="QJ2" t="s">
        <v>906</v>
      </c>
      <c r="QK2" t="s">
        <v>907</v>
      </c>
      <c r="QL2" t="s">
        <v>908</v>
      </c>
      <c r="QM2" t="s">
        <v>909</v>
      </c>
      <c r="QN2" t="s">
        <v>910</v>
      </c>
      <c r="QO2" t="s">
        <v>911</v>
      </c>
      <c r="QP2" t="s">
        <v>912</v>
      </c>
      <c r="QQ2" t="s">
        <v>913</v>
      </c>
      <c r="QR2" t="s">
        <v>914</v>
      </c>
      <c r="QS2" t="s">
        <v>915</v>
      </c>
      <c r="QT2" t="s">
        <v>916</v>
      </c>
      <c r="QU2" t="s">
        <v>917</v>
      </c>
      <c r="QV2" t="s">
        <v>918</v>
      </c>
      <c r="QW2" t="s">
        <v>919</v>
      </c>
      <c r="QX2" t="s">
        <v>920</v>
      </c>
      <c r="QY2" t="s">
        <v>921</v>
      </c>
      <c r="QZ2" t="s">
        <v>922</v>
      </c>
      <c r="RA2" t="s">
        <v>923</v>
      </c>
      <c r="RB2" t="s">
        <v>924</v>
      </c>
      <c r="RC2" t="s">
        <v>925</v>
      </c>
      <c r="RD2" t="s">
        <v>926</v>
      </c>
      <c r="RE2" t="s">
        <v>927</v>
      </c>
      <c r="RF2" t="s">
        <v>928</v>
      </c>
      <c r="RG2" t="s">
        <v>929</v>
      </c>
      <c r="RH2" t="s">
        <v>930</v>
      </c>
      <c r="RI2" t="s">
        <v>870</v>
      </c>
      <c r="RJ2" t="s">
        <v>648</v>
      </c>
      <c r="RK2" t="s">
        <v>649</v>
      </c>
      <c r="RL2" t="s">
        <v>863</v>
      </c>
      <c r="RM2" t="s">
        <v>870</v>
      </c>
      <c r="RN2" t="s">
        <v>911</v>
      </c>
      <c r="RO2" t="s">
        <v>921</v>
      </c>
      <c r="RP2" t="s">
        <v>870</v>
      </c>
      <c r="RQ2" t="s">
        <v>931</v>
      </c>
      <c r="RR2" t="s">
        <v>932</v>
      </c>
    </row>
    <row r="3" spans="1:486">
      <c r="A3">
        <v>1003551</v>
      </c>
      <c r="B3" t="s">
        <v>498</v>
      </c>
      <c r="C3" t="s">
        <v>954</v>
      </c>
      <c r="D3" t="s">
        <v>539</v>
      </c>
      <c r="E3" t="s">
        <v>500</v>
      </c>
      <c r="F3" t="s">
        <v>486</v>
      </c>
      <c r="G3">
        <v>180</v>
      </c>
      <c r="H3" t="s">
        <v>487</v>
      </c>
      <c r="I3" t="s">
        <v>487</v>
      </c>
      <c r="J3" t="s">
        <v>487</v>
      </c>
      <c r="K3" t="s">
        <v>487</v>
      </c>
      <c r="L3" t="s">
        <v>489</v>
      </c>
      <c r="M3" t="s">
        <v>489</v>
      </c>
      <c r="N3" t="s">
        <v>489</v>
      </c>
      <c r="O3" t="s">
        <v>490</v>
      </c>
      <c r="P3" t="s">
        <v>490</v>
      </c>
      <c r="Q3" t="s">
        <v>490</v>
      </c>
      <c r="R3" t="s">
        <v>489</v>
      </c>
      <c r="S3" t="s">
        <v>489</v>
      </c>
      <c r="T3" t="s">
        <v>490</v>
      </c>
      <c r="U3" t="s">
        <v>490</v>
      </c>
      <c r="V3" t="s">
        <v>489</v>
      </c>
      <c r="W3" t="s">
        <v>489</v>
      </c>
      <c r="X3" t="s">
        <v>490</v>
      </c>
      <c r="Y3" t="s">
        <v>490</v>
      </c>
      <c r="Z3" t="s">
        <v>490</v>
      </c>
      <c r="AA3" t="s">
        <v>490</v>
      </c>
      <c r="AB3" t="s">
        <v>489</v>
      </c>
      <c r="AC3" t="s">
        <v>490</v>
      </c>
      <c r="AD3" t="s">
        <v>490</v>
      </c>
      <c r="AE3" t="s">
        <v>489</v>
      </c>
      <c r="AF3" t="s">
        <v>489</v>
      </c>
      <c r="AG3" t="s">
        <v>490</v>
      </c>
      <c r="AH3" t="s">
        <v>490</v>
      </c>
      <c r="AI3" t="s">
        <v>489</v>
      </c>
      <c r="AJ3" t="s">
        <v>490</v>
      </c>
      <c r="AK3" t="s">
        <v>490</v>
      </c>
      <c r="AL3" t="s">
        <v>490</v>
      </c>
      <c r="AM3" t="s">
        <v>490</v>
      </c>
      <c r="AN3" t="s">
        <v>489</v>
      </c>
      <c r="AO3" t="s">
        <v>490</v>
      </c>
      <c r="AP3" t="s">
        <v>490</v>
      </c>
      <c r="AQ3" t="s">
        <v>489</v>
      </c>
      <c r="AR3" t="s">
        <v>489</v>
      </c>
      <c r="AS3" t="s">
        <v>490</v>
      </c>
      <c r="AT3" t="s">
        <v>490</v>
      </c>
      <c r="AU3" t="s">
        <v>489</v>
      </c>
      <c r="AV3" t="s">
        <v>490</v>
      </c>
      <c r="AW3" t="s">
        <v>490</v>
      </c>
      <c r="AX3" t="s">
        <v>490</v>
      </c>
      <c r="AY3" t="s">
        <v>490</v>
      </c>
      <c r="AZ3" t="s">
        <v>489</v>
      </c>
      <c r="BA3" t="s">
        <v>490</v>
      </c>
      <c r="BB3" t="s">
        <v>490</v>
      </c>
      <c r="BC3" t="s">
        <v>489</v>
      </c>
      <c r="BD3" t="s">
        <v>490</v>
      </c>
      <c r="BE3" t="s">
        <v>490</v>
      </c>
      <c r="BF3" t="s">
        <v>489</v>
      </c>
      <c r="BG3" t="s">
        <v>490</v>
      </c>
      <c r="BH3" t="s">
        <v>490</v>
      </c>
      <c r="BI3" t="s">
        <v>489</v>
      </c>
      <c r="BJ3" t="s">
        <v>489</v>
      </c>
      <c r="BK3" t="s">
        <v>489</v>
      </c>
      <c r="BL3" t="s">
        <v>490</v>
      </c>
      <c r="BM3" t="s">
        <v>490</v>
      </c>
      <c r="BN3" t="s">
        <v>490</v>
      </c>
      <c r="BO3" t="s">
        <v>489</v>
      </c>
      <c r="BP3" t="s">
        <v>490</v>
      </c>
      <c r="BQ3" t="s">
        <v>490</v>
      </c>
      <c r="BR3" t="s">
        <v>489</v>
      </c>
      <c r="BS3" t="s">
        <v>489</v>
      </c>
      <c r="BT3" t="s">
        <v>489</v>
      </c>
      <c r="BU3" t="s">
        <v>490</v>
      </c>
      <c r="BV3" t="s">
        <v>490</v>
      </c>
      <c r="BW3" t="s">
        <v>490</v>
      </c>
      <c r="BX3" t="s">
        <v>489</v>
      </c>
      <c r="BY3" t="s">
        <v>489</v>
      </c>
      <c r="BZ3" t="s">
        <v>490</v>
      </c>
      <c r="CA3" t="s">
        <v>490</v>
      </c>
      <c r="DI3" t="s">
        <v>489</v>
      </c>
      <c r="DJ3" t="s">
        <v>489</v>
      </c>
      <c r="DK3" t="s">
        <v>490</v>
      </c>
      <c r="DL3" t="s">
        <v>489</v>
      </c>
      <c r="DM3" t="s">
        <v>489</v>
      </c>
      <c r="DN3" t="s">
        <v>490</v>
      </c>
      <c r="DO3" t="s">
        <v>490</v>
      </c>
      <c r="DP3" t="s">
        <v>490</v>
      </c>
      <c r="DQ3" t="s">
        <v>489</v>
      </c>
      <c r="DR3" t="s">
        <v>489</v>
      </c>
      <c r="DS3" t="s">
        <v>489</v>
      </c>
      <c r="DT3" t="s">
        <v>490</v>
      </c>
      <c r="DU3" t="s">
        <v>489</v>
      </c>
      <c r="DV3" t="s">
        <v>489</v>
      </c>
      <c r="DW3" t="s">
        <v>490</v>
      </c>
      <c r="DX3" t="s">
        <v>490</v>
      </c>
      <c r="DY3" t="s">
        <v>490</v>
      </c>
      <c r="DZ3" t="s">
        <v>489</v>
      </c>
      <c r="EA3" t="s">
        <v>490</v>
      </c>
      <c r="EB3" t="s">
        <v>489</v>
      </c>
      <c r="EC3" t="s">
        <v>490</v>
      </c>
      <c r="ED3" t="s">
        <v>490</v>
      </c>
      <c r="EE3" t="s">
        <v>490</v>
      </c>
      <c r="EF3" t="s">
        <v>489</v>
      </c>
      <c r="EG3" t="s">
        <v>490</v>
      </c>
      <c r="EH3" t="s">
        <v>490</v>
      </c>
      <c r="EI3" t="s">
        <v>489</v>
      </c>
      <c r="EJ3" t="s">
        <v>490</v>
      </c>
      <c r="EK3" t="s">
        <v>490</v>
      </c>
      <c r="EL3" t="s">
        <v>489</v>
      </c>
      <c r="EM3" t="s">
        <v>490</v>
      </c>
      <c r="EN3" t="s">
        <v>490</v>
      </c>
      <c r="EO3" t="s">
        <v>489</v>
      </c>
      <c r="EP3" t="s">
        <v>490</v>
      </c>
      <c r="EQ3" t="s">
        <v>490</v>
      </c>
      <c r="ER3" t="s">
        <v>489</v>
      </c>
      <c r="ES3" t="s">
        <v>490</v>
      </c>
      <c r="ET3" t="s">
        <v>489</v>
      </c>
      <c r="EU3" t="s">
        <v>490</v>
      </c>
      <c r="EV3" t="s">
        <v>490</v>
      </c>
      <c r="EW3" t="s">
        <v>490</v>
      </c>
      <c r="EX3" t="s">
        <v>489</v>
      </c>
      <c r="EY3">
        <v>100</v>
      </c>
      <c r="EZ3">
        <v>48</v>
      </c>
      <c r="FA3">
        <v>20</v>
      </c>
      <c r="FB3" t="s">
        <v>543</v>
      </c>
      <c r="OH3" s="15">
        <v>8</v>
      </c>
      <c r="OI3" s="15">
        <v>6</v>
      </c>
      <c r="OJ3" s="15">
        <v>10</v>
      </c>
      <c r="OK3" s="15">
        <v>3</v>
      </c>
      <c r="OL3" s="15">
        <v>9</v>
      </c>
      <c r="OM3" s="15">
        <v>4</v>
      </c>
      <c r="ON3" s="15">
        <v>4</v>
      </c>
      <c r="OO3" s="15">
        <v>10</v>
      </c>
      <c r="OQ3" t="s">
        <v>487</v>
      </c>
      <c r="OR3" t="s">
        <v>487</v>
      </c>
      <c r="OS3" t="s">
        <v>489</v>
      </c>
      <c r="OT3" t="s">
        <v>489</v>
      </c>
      <c r="OU3" t="s">
        <v>489</v>
      </c>
      <c r="OV3" t="s">
        <v>489</v>
      </c>
      <c r="OW3" t="s">
        <v>490</v>
      </c>
      <c r="OY3">
        <v>100</v>
      </c>
      <c r="OZ3">
        <v>2</v>
      </c>
      <c r="PA3">
        <v>1</v>
      </c>
      <c r="PB3">
        <v>1</v>
      </c>
      <c r="PC3">
        <v>0</v>
      </c>
      <c r="PD3">
        <v>1</v>
      </c>
      <c r="PE3">
        <v>1</v>
      </c>
      <c r="PF3">
        <v>48</v>
      </c>
      <c r="PG3">
        <v>5</v>
      </c>
      <c r="PH3">
        <v>0</v>
      </c>
      <c r="PI3">
        <v>100</v>
      </c>
      <c r="PJ3">
        <v>10</v>
      </c>
      <c r="PK3">
        <v>2</v>
      </c>
      <c r="PL3">
        <v>2</v>
      </c>
      <c r="PM3">
        <v>0</v>
      </c>
      <c r="PN3">
        <v>2</v>
      </c>
      <c r="PO3">
        <v>2</v>
      </c>
      <c r="PP3">
        <v>58</v>
      </c>
      <c r="PQ3">
        <v>10</v>
      </c>
      <c r="PR3">
        <v>0</v>
      </c>
      <c r="PT3" t="s">
        <v>487</v>
      </c>
      <c r="PU3" t="s">
        <v>515</v>
      </c>
      <c r="PV3">
        <v>6000000</v>
      </c>
      <c r="PW3">
        <v>5000000</v>
      </c>
      <c r="PX3">
        <v>11000000</v>
      </c>
      <c r="PY3" t="s">
        <v>493</v>
      </c>
      <c r="PZ3" t="s">
        <v>493</v>
      </c>
      <c r="QA3">
        <v>30</v>
      </c>
      <c r="QB3">
        <v>70</v>
      </c>
      <c r="QC3">
        <v>50</v>
      </c>
      <c r="QD3">
        <v>50</v>
      </c>
      <c r="QE3" t="s">
        <v>508</v>
      </c>
      <c r="QZ3">
        <v>80</v>
      </c>
      <c r="RA3">
        <v>0</v>
      </c>
      <c r="RB3" t="s">
        <v>490</v>
      </c>
      <c r="RC3" t="s">
        <v>490</v>
      </c>
      <c r="RD3" t="s">
        <v>489</v>
      </c>
      <c r="RE3" t="s">
        <v>490</v>
      </c>
      <c r="RF3" t="s">
        <v>490</v>
      </c>
      <c r="RG3" t="s">
        <v>490</v>
      </c>
      <c r="RH3" t="s">
        <v>489</v>
      </c>
      <c r="RI3" t="s">
        <v>490</v>
      </c>
      <c r="RL3" t="s">
        <v>551</v>
      </c>
      <c r="RR3" t="s">
        <v>552</v>
      </c>
    </row>
    <row r="4" spans="1:486">
      <c r="A4">
        <v>12196</v>
      </c>
      <c r="B4" t="s">
        <v>498</v>
      </c>
      <c r="C4" t="s">
        <v>954</v>
      </c>
      <c r="D4" t="s">
        <v>499</v>
      </c>
      <c r="E4" t="s">
        <v>500</v>
      </c>
      <c r="F4" t="s">
        <v>486</v>
      </c>
      <c r="G4">
        <v>118</v>
      </c>
      <c r="H4" t="s">
        <v>487</v>
      </c>
      <c r="I4" t="s">
        <v>487</v>
      </c>
      <c r="J4" t="s">
        <v>487</v>
      </c>
      <c r="K4" t="s">
        <v>487</v>
      </c>
      <c r="L4" t="s">
        <v>489</v>
      </c>
      <c r="M4" t="s">
        <v>489</v>
      </c>
      <c r="N4" t="s">
        <v>489</v>
      </c>
      <c r="O4" t="s">
        <v>489</v>
      </c>
      <c r="P4" t="s">
        <v>490</v>
      </c>
      <c r="Q4" t="s">
        <v>490</v>
      </c>
      <c r="R4" t="s">
        <v>489</v>
      </c>
      <c r="S4" t="s">
        <v>489</v>
      </c>
      <c r="T4" t="s">
        <v>489</v>
      </c>
      <c r="U4" t="s">
        <v>490</v>
      </c>
      <c r="V4" t="s">
        <v>490</v>
      </c>
      <c r="W4" t="s">
        <v>489</v>
      </c>
      <c r="X4" t="s">
        <v>490</v>
      </c>
      <c r="Y4" t="s">
        <v>490</v>
      </c>
      <c r="Z4" t="s">
        <v>490</v>
      </c>
      <c r="AA4" t="s">
        <v>489</v>
      </c>
      <c r="AB4" t="s">
        <v>490</v>
      </c>
      <c r="AC4" t="s">
        <v>489</v>
      </c>
      <c r="AD4" t="s">
        <v>489</v>
      </c>
      <c r="AE4" t="s">
        <v>490</v>
      </c>
      <c r="AF4" t="s">
        <v>489</v>
      </c>
      <c r="AG4" t="s">
        <v>489</v>
      </c>
      <c r="AH4" t="s">
        <v>490</v>
      </c>
      <c r="AI4" t="s">
        <v>489</v>
      </c>
      <c r="AJ4" t="s">
        <v>489</v>
      </c>
      <c r="AK4" t="s">
        <v>490</v>
      </c>
      <c r="AL4" t="s">
        <v>490</v>
      </c>
      <c r="AM4" t="s">
        <v>490</v>
      </c>
      <c r="AN4" t="s">
        <v>489</v>
      </c>
      <c r="AO4" t="s">
        <v>489</v>
      </c>
      <c r="AP4" t="s">
        <v>489</v>
      </c>
      <c r="AQ4" t="s">
        <v>490</v>
      </c>
      <c r="AR4" t="s">
        <v>489</v>
      </c>
      <c r="AS4" t="s">
        <v>489</v>
      </c>
      <c r="AT4" t="s">
        <v>490</v>
      </c>
      <c r="AU4" t="s">
        <v>489</v>
      </c>
      <c r="AV4" t="s">
        <v>489</v>
      </c>
      <c r="AW4" t="s">
        <v>490</v>
      </c>
      <c r="AX4" t="s">
        <v>489</v>
      </c>
      <c r="AY4" t="s">
        <v>489</v>
      </c>
      <c r="AZ4" t="s">
        <v>490</v>
      </c>
      <c r="BA4" t="s">
        <v>489</v>
      </c>
      <c r="BB4" t="s">
        <v>489</v>
      </c>
      <c r="BC4" t="s">
        <v>490</v>
      </c>
      <c r="BD4" t="s">
        <v>490</v>
      </c>
      <c r="BE4" t="s">
        <v>490</v>
      </c>
      <c r="BF4" t="s">
        <v>489</v>
      </c>
      <c r="BG4" t="s">
        <v>489</v>
      </c>
      <c r="BH4" t="s">
        <v>490</v>
      </c>
      <c r="BI4" t="s">
        <v>490</v>
      </c>
      <c r="BJ4" t="s">
        <v>489</v>
      </c>
      <c r="BK4" t="s">
        <v>489</v>
      </c>
      <c r="BL4" t="s">
        <v>490</v>
      </c>
      <c r="BM4" t="s">
        <v>489</v>
      </c>
      <c r="BN4" t="s">
        <v>489</v>
      </c>
      <c r="BO4" t="s">
        <v>490</v>
      </c>
      <c r="BP4" t="s">
        <v>489</v>
      </c>
      <c r="BQ4" t="s">
        <v>489</v>
      </c>
      <c r="BR4" t="s">
        <v>490</v>
      </c>
      <c r="BS4" t="s">
        <v>489</v>
      </c>
      <c r="BT4" t="s">
        <v>489</v>
      </c>
      <c r="BU4" t="s">
        <v>490</v>
      </c>
      <c r="BV4" t="s">
        <v>489</v>
      </c>
      <c r="BW4" t="s">
        <v>490</v>
      </c>
      <c r="BX4" t="s">
        <v>490</v>
      </c>
      <c r="BY4" t="s">
        <v>489</v>
      </c>
      <c r="BZ4" t="s">
        <v>489</v>
      </c>
      <c r="CA4" t="s">
        <v>490</v>
      </c>
      <c r="CB4" t="s">
        <v>489</v>
      </c>
      <c r="CC4" t="s">
        <v>490</v>
      </c>
      <c r="CD4" t="s">
        <v>490</v>
      </c>
      <c r="CE4" t="s">
        <v>490</v>
      </c>
      <c r="CF4" t="s">
        <v>490</v>
      </c>
      <c r="CG4" t="s">
        <v>489</v>
      </c>
      <c r="CH4" t="s">
        <v>489</v>
      </c>
      <c r="CI4" t="s">
        <v>490</v>
      </c>
      <c r="CJ4" t="s">
        <v>490</v>
      </c>
      <c r="CK4" t="s">
        <v>490</v>
      </c>
      <c r="CL4" t="s">
        <v>490</v>
      </c>
      <c r="CM4" t="s">
        <v>489</v>
      </c>
      <c r="CN4" t="s">
        <v>490</v>
      </c>
      <c r="CO4" t="s">
        <v>490</v>
      </c>
      <c r="CP4" t="s">
        <v>489</v>
      </c>
      <c r="DI4" t="s">
        <v>489</v>
      </c>
      <c r="DJ4" t="s">
        <v>489</v>
      </c>
      <c r="DK4" t="s">
        <v>490</v>
      </c>
      <c r="DL4" t="s">
        <v>489</v>
      </c>
      <c r="DM4" t="s">
        <v>489</v>
      </c>
      <c r="DN4" t="s">
        <v>490</v>
      </c>
      <c r="DO4" t="s">
        <v>490</v>
      </c>
      <c r="DP4" t="s">
        <v>490</v>
      </c>
      <c r="DQ4" t="s">
        <v>489</v>
      </c>
      <c r="DR4" t="s">
        <v>489</v>
      </c>
      <c r="DS4" t="s">
        <v>489</v>
      </c>
      <c r="DT4" t="s">
        <v>490</v>
      </c>
      <c r="DU4" t="s">
        <v>489</v>
      </c>
      <c r="DV4" t="s">
        <v>489</v>
      </c>
      <c r="DW4" t="s">
        <v>490</v>
      </c>
      <c r="DX4" t="s">
        <v>490</v>
      </c>
      <c r="DY4" t="s">
        <v>490</v>
      </c>
      <c r="DZ4" t="s">
        <v>489</v>
      </c>
      <c r="EA4" t="s">
        <v>490</v>
      </c>
      <c r="EB4" t="s">
        <v>489</v>
      </c>
      <c r="EC4" t="s">
        <v>490</v>
      </c>
      <c r="ED4" t="s">
        <v>490</v>
      </c>
      <c r="EE4" t="s">
        <v>489</v>
      </c>
      <c r="EF4" t="s">
        <v>490</v>
      </c>
      <c r="EG4" t="s">
        <v>490</v>
      </c>
      <c r="EH4" t="s">
        <v>489</v>
      </c>
      <c r="EI4" t="s">
        <v>490</v>
      </c>
      <c r="EJ4" t="s">
        <v>490</v>
      </c>
      <c r="EK4" t="s">
        <v>489</v>
      </c>
      <c r="EL4" t="s">
        <v>490</v>
      </c>
      <c r="EM4" t="s">
        <v>490</v>
      </c>
      <c r="EN4" t="s">
        <v>490</v>
      </c>
      <c r="EO4" t="s">
        <v>489</v>
      </c>
      <c r="EP4" t="s">
        <v>490</v>
      </c>
      <c r="EQ4" t="s">
        <v>489</v>
      </c>
      <c r="ER4" t="s">
        <v>490</v>
      </c>
      <c r="ES4" t="s">
        <v>490</v>
      </c>
      <c r="ET4" t="s">
        <v>489</v>
      </c>
      <c r="EU4" t="s">
        <v>490</v>
      </c>
      <c r="EV4" t="s">
        <v>490</v>
      </c>
      <c r="EW4" t="s">
        <v>489</v>
      </c>
      <c r="EX4" t="s">
        <v>490</v>
      </c>
      <c r="EY4">
        <v>98</v>
      </c>
      <c r="EZ4">
        <v>20</v>
      </c>
      <c r="FA4">
        <v>65</v>
      </c>
      <c r="FB4" t="s">
        <v>491</v>
      </c>
      <c r="FC4">
        <v>3000</v>
      </c>
      <c r="FD4">
        <v>3000</v>
      </c>
      <c r="FE4">
        <v>27000</v>
      </c>
      <c r="FF4">
        <v>27000</v>
      </c>
      <c r="FG4">
        <v>0</v>
      </c>
      <c r="FH4">
        <v>0</v>
      </c>
      <c r="FI4">
        <v>0</v>
      </c>
      <c r="FJ4">
        <v>0</v>
      </c>
      <c r="FK4">
        <v>2200</v>
      </c>
      <c r="FL4">
        <v>22000</v>
      </c>
      <c r="FM4">
        <v>0</v>
      </c>
      <c r="FN4">
        <v>0</v>
      </c>
      <c r="FQ4">
        <v>0</v>
      </c>
      <c r="FR4">
        <v>0</v>
      </c>
      <c r="FS4">
        <v>400</v>
      </c>
      <c r="FT4">
        <v>400</v>
      </c>
      <c r="FU4">
        <v>250000</v>
      </c>
      <c r="FV4">
        <v>250000</v>
      </c>
      <c r="FY4">
        <v>0</v>
      </c>
      <c r="FZ4">
        <v>0</v>
      </c>
      <c r="GB4">
        <v>0</v>
      </c>
      <c r="GD4">
        <v>0</v>
      </c>
      <c r="GG4">
        <v>0</v>
      </c>
      <c r="GH4">
        <v>80</v>
      </c>
      <c r="GI4">
        <v>20</v>
      </c>
      <c r="GJ4">
        <v>0</v>
      </c>
      <c r="GK4">
        <v>30</v>
      </c>
      <c r="GL4">
        <v>70</v>
      </c>
      <c r="GS4">
        <v>3</v>
      </c>
      <c r="GT4">
        <v>27</v>
      </c>
      <c r="GU4">
        <v>70</v>
      </c>
      <c r="HE4">
        <v>10</v>
      </c>
      <c r="HF4">
        <v>40</v>
      </c>
      <c r="HG4">
        <v>50</v>
      </c>
      <c r="HH4">
        <v>100</v>
      </c>
      <c r="HI4">
        <v>0</v>
      </c>
      <c r="HJ4">
        <v>0</v>
      </c>
      <c r="HK4">
        <v>7000</v>
      </c>
      <c r="HL4">
        <v>0</v>
      </c>
      <c r="HN4">
        <v>0</v>
      </c>
      <c r="HO4">
        <v>555000</v>
      </c>
      <c r="HP4">
        <v>65000</v>
      </c>
      <c r="HQ4">
        <v>3697</v>
      </c>
      <c r="HR4">
        <v>27000</v>
      </c>
      <c r="HS4">
        <v>7000</v>
      </c>
      <c r="HT4">
        <v>0</v>
      </c>
      <c r="HV4">
        <v>0</v>
      </c>
      <c r="HW4">
        <v>555000</v>
      </c>
      <c r="HX4">
        <v>65000</v>
      </c>
      <c r="HY4">
        <v>3687</v>
      </c>
      <c r="HZ4">
        <v>27000</v>
      </c>
      <c r="IA4">
        <v>0</v>
      </c>
      <c r="IE4">
        <v>6000</v>
      </c>
      <c r="IF4">
        <v>0</v>
      </c>
      <c r="IG4">
        <v>0</v>
      </c>
      <c r="IH4">
        <v>0</v>
      </c>
      <c r="II4">
        <v>5</v>
      </c>
      <c r="IJ4">
        <v>95</v>
      </c>
      <c r="IK4">
        <v>0</v>
      </c>
      <c r="IU4">
        <v>37</v>
      </c>
      <c r="IV4">
        <v>63</v>
      </c>
      <c r="IW4">
        <v>0</v>
      </c>
      <c r="IX4">
        <v>10</v>
      </c>
      <c r="IY4">
        <v>50</v>
      </c>
      <c r="IZ4">
        <v>40</v>
      </c>
      <c r="JA4">
        <v>0</v>
      </c>
      <c r="JB4">
        <v>100</v>
      </c>
      <c r="JC4">
        <v>0</v>
      </c>
      <c r="JD4">
        <v>0</v>
      </c>
      <c r="JE4">
        <v>100</v>
      </c>
      <c r="JF4">
        <v>0</v>
      </c>
      <c r="JG4">
        <v>150</v>
      </c>
      <c r="JI4">
        <v>50</v>
      </c>
      <c r="JK4">
        <v>3000</v>
      </c>
      <c r="JM4">
        <v>100</v>
      </c>
      <c r="JO4">
        <v>150</v>
      </c>
      <c r="JQ4">
        <v>50</v>
      </c>
      <c r="JS4">
        <v>1</v>
      </c>
      <c r="JT4">
        <v>20</v>
      </c>
      <c r="JU4">
        <v>79</v>
      </c>
      <c r="JY4">
        <v>0</v>
      </c>
      <c r="JZ4">
        <v>10</v>
      </c>
      <c r="KA4">
        <v>90</v>
      </c>
      <c r="KE4">
        <v>0</v>
      </c>
      <c r="KG4">
        <v>0</v>
      </c>
      <c r="KJ4">
        <v>0</v>
      </c>
      <c r="KL4">
        <v>0</v>
      </c>
      <c r="MH4">
        <v>5000</v>
      </c>
      <c r="MI4">
        <v>0</v>
      </c>
      <c r="MK4">
        <v>40000</v>
      </c>
      <c r="ML4">
        <v>0</v>
      </c>
      <c r="MN4">
        <v>4000</v>
      </c>
      <c r="MO4">
        <v>0</v>
      </c>
      <c r="MQ4">
        <v>40000</v>
      </c>
      <c r="MR4">
        <v>0</v>
      </c>
      <c r="MT4">
        <v>700</v>
      </c>
      <c r="MW4">
        <v>300</v>
      </c>
      <c r="NA4">
        <v>3</v>
      </c>
      <c r="NB4">
        <v>5</v>
      </c>
      <c r="NC4">
        <v>100</v>
      </c>
      <c r="NE4">
        <v>30</v>
      </c>
      <c r="NF4">
        <v>0</v>
      </c>
      <c r="NG4">
        <v>4</v>
      </c>
      <c r="NI4">
        <v>3</v>
      </c>
      <c r="NJ4">
        <v>5</v>
      </c>
      <c r="NK4">
        <v>100</v>
      </c>
      <c r="NM4">
        <v>30</v>
      </c>
      <c r="NN4">
        <v>4</v>
      </c>
      <c r="NO4">
        <v>0</v>
      </c>
      <c r="NP4">
        <v>5</v>
      </c>
      <c r="NQ4">
        <v>70</v>
      </c>
      <c r="NR4">
        <v>25</v>
      </c>
      <c r="NY4">
        <v>20</v>
      </c>
      <c r="NZ4">
        <v>50</v>
      </c>
      <c r="OA4">
        <v>30</v>
      </c>
      <c r="OH4" s="15">
        <v>9</v>
      </c>
      <c r="OI4" s="15">
        <v>10</v>
      </c>
      <c r="OJ4" s="15">
        <v>8</v>
      </c>
      <c r="OK4" s="15">
        <v>2</v>
      </c>
      <c r="OL4" s="15">
        <v>10</v>
      </c>
      <c r="OM4" s="15">
        <v>10</v>
      </c>
      <c r="ON4" s="15">
        <v>8</v>
      </c>
      <c r="OO4" s="15">
        <v>1</v>
      </c>
      <c r="OQ4" t="s">
        <v>487</v>
      </c>
      <c r="OR4" t="s">
        <v>487</v>
      </c>
      <c r="OS4" t="s">
        <v>489</v>
      </c>
      <c r="OT4" t="s">
        <v>489</v>
      </c>
      <c r="OU4" t="s">
        <v>489</v>
      </c>
      <c r="OV4" t="s">
        <v>489</v>
      </c>
      <c r="OW4" t="s">
        <v>490</v>
      </c>
      <c r="OY4">
        <v>27</v>
      </c>
      <c r="OZ4">
        <v>3</v>
      </c>
      <c r="PA4">
        <v>1</v>
      </c>
      <c r="PB4">
        <v>2</v>
      </c>
      <c r="PC4">
        <v>0</v>
      </c>
      <c r="PD4">
        <v>0</v>
      </c>
      <c r="PE4">
        <v>0</v>
      </c>
      <c r="PF4">
        <v>1</v>
      </c>
      <c r="PG4">
        <v>0</v>
      </c>
      <c r="PH4">
        <v>0</v>
      </c>
      <c r="PI4">
        <v>28</v>
      </c>
      <c r="PJ4">
        <v>5</v>
      </c>
      <c r="PK4">
        <v>2</v>
      </c>
      <c r="PL4">
        <v>3</v>
      </c>
      <c r="PM4">
        <v>0</v>
      </c>
      <c r="PN4">
        <v>0</v>
      </c>
      <c r="PO4">
        <v>2</v>
      </c>
      <c r="PP4">
        <v>1</v>
      </c>
      <c r="PQ4">
        <v>0</v>
      </c>
      <c r="PR4">
        <v>0</v>
      </c>
      <c r="PT4" t="s">
        <v>487</v>
      </c>
      <c r="PU4" t="s">
        <v>492</v>
      </c>
      <c r="PV4">
        <v>700000</v>
      </c>
      <c r="PW4">
        <v>400000</v>
      </c>
      <c r="PX4">
        <v>1100000</v>
      </c>
      <c r="PY4" t="s">
        <v>493</v>
      </c>
      <c r="PZ4" t="s">
        <v>493</v>
      </c>
      <c r="QA4">
        <v>40</v>
      </c>
      <c r="QB4">
        <v>60</v>
      </c>
      <c r="QC4">
        <v>60</v>
      </c>
      <c r="QD4">
        <v>40</v>
      </c>
      <c r="QE4" t="s">
        <v>494</v>
      </c>
      <c r="QF4">
        <v>10</v>
      </c>
      <c r="QG4">
        <v>20</v>
      </c>
      <c r="QH4">
        <v>10</v>
      </c>
      <c r="QI4">
        <v>2</v>
      </c>
      <c r="QJ4">
        <v>10</v>
      </c>
      <c r="QK4">
        <v>5</v>
      </c>
      <c r="QL4">
        <v>20</v>
      </c>
      <c r="QM4">
        <v>8</v>
      </c>
      <c r="QN4">
        <v>15</v>
      </c>
      <c r="QP4">
        <v>60</v>
      </c>
      <c r="QQ4">
        <v>5</v>
      </c>
      <c r="QR4">
        <v>5</v>
      </c>
      <c r="QS4">
        <v>10</v>
      </c>
      <c r="QT4">
        <v>5</v>
      </c>
      <c r="QU4">
        <v>3</v>
      </c>
      <c r="QV4">
        <v>3</v>
      </c>
      <c r="QW4">
        <v>9</v>
      </c>
      <c r="QX4">
        <v>0</v>
      </c>
      <c r="QZ4">
        <v>10</v>
      </c>
      <c r="RA4">
        <v>2</v>
      </c>
      <c r="RB4" t="s">
        <v>489</v>
      </c>
      <c r="RC4" t="s">
        <v>489</v>
      </c>
      <c r="RD4" t="s">
        <v>489</v>
      </c>
      <c r="RE4" t="s">
        <v>489</v>
      </c>
      <c r="RF4" t="s">
        <v>490</v>
      </c>
      <c r="RG4" t="s">
        <v>490</v>
      </c>
      <c r="RH4" t="s">
        <v>489</v>
      </c>
      <c r="RI4" t="s">
        <v>490</v>
      </c>
      <c r="RN4" t="s">
        <v>501</v>
      </c>
      <c r="RR4" t="s">
        <v>502</v>
      </c>
    </row>
    <row r="5" spans="1:486">
      <c r="A5">
        <v>1003421</v>
      </c>
      <c r="B5" t="s">
        <v>485</v>
      </c>
      <c r="C5" t="s">
        <v>973</v>
      </c>
      <c r="D5" t="s">
        <v>511</v>
      </c>
      <c r="E5" t="s">
        <v>500</v>
      </c>
      <c r="F5" t="s">
        <v>496</v>
      </c>
      <c r="G5">
        <v>47</v>
      </c>
      <c r="H5" t="s">
        <v>487</v>
      </c>
      <c r="I5" t="s">
        <v>487</v>
      </c>
      <c r="J5" t="s">
        <v>487</v>
      </c>
      <c r="K5" t="s">
        <v>487</v>
      </c>
      <c r="L5" t="s">
        <v>489</v>
      </c>
      <c r="M5" t="s">
        <v>489</v>
      </c>
      <c r="N5" t="s">
        <v>489</v>
      </c>
      <c r="O5" t="s">
        <v>489</v>
      </c>
      <c r="P5" t="s">
        <v>490</v>
      </c>
      <c r="Q5" t="s">
        <v>490</v>
      </c>
      <c r="R5" t="s">
        <v>489</v>
      </c>
      <c r="S5" t="s">
        <v>490</v>
      </c>
      <c r="T5" t="s">
        <v>489</v>
      </c>
      <c r="U5" t="s">
        <v>489</v>
      </c>
      <c r="V5" t="s">
        <v>490</v>
      </c>
      <c r="W5" t="s">
        <v>489</v>
      </c>
      <c r="X5" t="s">
        <v>489</v>
      </c>
      <c r="Y5" t="s">
        <v>490</v>
      </c>
      <c r="Z5" t="s">
        <v>490</v>
      </c>
      <c r="AA5" t="s">
        <v>490</v>
      </c>
      <c r="AB5" t="s">
        <v>489</v>
      </c>
      <c r="AC5" t="s">
        <v>489</v>
      </c>
      <c r="AD5" t="s">
        <v>490</v>
      </c>
      <c r="AE5" t="s">
        <v>490</v>
      </c>
      <c r="AF5" t="s">
        <v>489</v>
      </c>
      <c r="AG5" t="s">
        <v>490</v>
      </c>
      <c r="AH5" t="s">
        <v>490</v>
      </c>
      <c r="AI5" t="s">
        <v>489</v>
      </c>
      <c r="AJ5" t="s">
        <v>490</v>
      </c>
      <c r="AK5" t="s">
        <v>490</v>
      </c>
      <c r="AL5" t="s">
        <v>489</v>
      </c>
      <c r="AM5" t="s">
        <v>489</v>
      </c>
      <c r="AN5" t="s">
        <v>490</v>
      </c>
      <c r="AO5" t="s">
        <v>489</v>
      </c>
      <c r="AP5" t="s">
        <v>489</v>
      </c>
      <c r="AQ5" t="s">
        <v>490</v>
      </c>
      <c r="AR5" t="s">
        <v>489</v>
      </c>
      <c r="AS5" t="s">
        <v>489</v>
      </c>
      <c r="AT5" t="s">
        <v>490</v>
      </c>
      <c r="AU5" t="s">
        <v>489</v>
      </c>
      <c r="AV5" t="s">
        <v>489</v>
      </c>
      <c r="AW5" t="s">
        <v>490</v>
      </c>
      <c r="AX5" t="s">
        <v>489</v>
      </c>
      <c r="AY5" t="s">
        <v>489</v>
      </c>
      <c r="AZ5" t="s">
        <v>490</v>
      </c>
      <c r="BA5" t="s">
        <v>489</v>
      </c>
      <c r="BB5" t="s">
        <v>489</v>
      </c>
      <c r="BC5" t="s">
        <v>490</v>
      </c>
      <c r="BD5" t="s">
        <v>489</v>
      </c>
      <c r="BE5" t="s">
        <v>489</v>
      </c>
      <c r="BF5" t="s">
        <v>490</v>
      </c>
      <c r="BG5" t="s">
        <v>489</v>
      </c>
      <c r="BH5" t="s">
        <v>489</v>
      </c>
      <c r="BI5" t="s">
        <v>490</v>
      </c>
      <c r="BJ5" t="s">
        <v>489</v>
      </c>
      <c r="BK5" t="s">
        <v>489</v>
      </c>
      <c r="BL5" t="s">
        <v>490</v>
      </c>
      <c r="BM5" t="s">
        <v>489</v>
      </c>
      <c r="BN5" t="s">
        <v>489</v>
      </c>
      <c r="BO5" t="s">
        <v>490</v>
      </c>
      <c r="BP5" t="s">
        <v>489</v>
      </c>
      <c r="BQ5" t="s">
        <v>489</v>
      </c>
      <c r="BR5" t="s">
        <v>490</v>
      </c>
      <c r="BS5" t="s">
        <v>489</v>
      </c>
      <c r="BT5" t="s">
        <v>489</v>
      </c>
      <c r="BU5" t="s">
        <v>490</v>
      </c>
      <c r="BV5" t="s">
        <v>490</v>
      </c>
      <c r="BW5" t="s">
        <v>490</v>
      </c>
      <c r="BX5" t="s">
        <v>489</v>
      </c>
      <c r="BY5" t="s">
        <v>489</v>
      </c>
      <c r="BZ5" t="s">
        <v>489</v>
      </c>
      <c r="CA5" t="s">
        <v>490</v>
      </c>
      <c r="CB5" t="s">
        <v>489</v>
      </c>
      <c r="CC5" t="s">
        <v>489</v>
      </c>
      <c r="CD5" t="s">
        <v>490</v>
      </c>
      <c r="CE5" t="s">
        <v>489</v>
      </c>
      <c r="CF5" t="s">
        <v>489</v>
      </c>
      <c r="CG5" t="s">
        <v>490</v>
      </c>
      <c r="CH5" t="s">
        <v>489</v>
      </c>
      <c r="CI5" t="s">
        <v>489</v>
      </c>
      <c r="CJ5" t="s">
        <v>490</v>
      </c>
      <c r="CK5" t="s">
        <v>489</v>
      </c>
      <c r="CL5" t="s">
        <v>489</v>
      </c>
      <c r="CM5" t="s">
        <v>490</v>
      </c>
      <c r="CN5" t="s">
        <v>489</v>
      </c>
      <c r="CO5" t="s">
        <v>489</v>
      </c>
      <c r="CP5" t="s">
        <v>490</v>
      </c>
      <c r="DI5" t="s">
        <v>489</v>
      </c>
      <c r="DJ5" t="s">
        <v>489</v>
      </c>
      <c r="DK5" t="s">
        <v>490</v>
      </c>
      <c r="DL5" t="s">
        <v>489</v>
      </c>
      <c r="DM5" t="s">
        <v>489</v>
      </c>
      <c r="DN5" t="s">
        <v>490</v>
      </c>
      <c r="DO5" t="s">
        <v>490</v>
      </c>
      <c r="DP5" t="s">
        <v>490</v>
      </c>
      <c r="DQ5" t="s">
        <v>489</v>
      </c>
      <c r="DR5" t="s">
        <v>489</v>
      </c>
      <c r="DS5" t="s">
        <v>489</v>
      </c>
      <c r="DT5" t="s">
        <v>490</v>
      </c>
      <c r="DU5" t="s">
        <v>489</v>
      </c>
      <c r="DV5" t="s">
        <v>489</v>
      </c>
      <c r="DW5" t="s">
        <v>490</v>
      </c>
      <c r="DX5" t="s">
        <v>489</v>
      </c>
      <c r="DY5" t="s">
        <v>489</v>
      </c>
      <c r="DZ5" t="s">
        <v>490</v>
      </c>
      <c r="EY5">
        <v>75</v>
      </c>
      <c r="EZ5">
        <v>2</v>
      </c>
      <c r="FA5">
        <v>90</v>
      </c>
      <c r="FB5" t="s">
        <v>491</v>
      </c>
      <c r="FC5">
        <v>595000</v>
      </c>
      <c r="FD5">
        <v>665000</v>
      </c>
      <c r="FO5">
        <v>50</v>
      </c>
      <c r="FP5">
        <v>500</v>
      </c>
      <c r="FQ5">
        <v>138000</v>
      </c>
      <c r="FR5">
        <v>273000</v>
      </c>
      <c r="GD5">
        <v>0</v>
      </c>
      <c r="HK5">
        <v>500</v>
      </c>
      <c r="HL5">
        <v>18500</v>
      </c>
      <c r="HM5">
        <v>82000</v>
      </c>
      <c r="HN5">
        <v>2000</v>
      </c>
      <c r="HO5">
        <v>48000</v>
      </c>
      <c r="HP5">
        <v>3000</v>
      </c>
      <c r="HR5">
        <v>20000</v>
      </c>
      <c r="HS5">
        <v>1000</v>
      </c>
      <c r="HT5">
        <v>37000</v>
      </c>
      <c r="HU5">
        <v>98500</v>
      </c>
      <c r="HV5">
        <v>1000</v>
      </c>
      <c r="HW5">
        <v>49000</v>
      </c>
      <c r="HX5">
        <v>13000</v>
      </c>
      <c r="HZ5">
        <v>20000</v>
      </c>
      <c r="IA5">
        <v>0</v>
      </c>
      <c r="IC5">
        <v>0</v>
      </c>
      <c r="ID5">
        <v>0</v>
      </c>
      <c r="IE5">
        <v>400</v>
      </c>
      <c r="IF5">
        <v>0</v>
      </c>
      <c r="IG5">
        <v>0</v>
      </c>
      <c r="IH5">
        <v>0</v>
      </c>
      <c r="II5">
        <v>5</v>
      </c>
      <c r="IJ5">
        <v>95</v>
      </c>
      <c r="IK5">
        <v>0</v>
      </c>
      <c r="IL5">
        <v>20</v>
      </c>
      <c r="IM5">
        <v>80</v>
      </c>
      <c r="IN5">
        <v>0</v>
      </c>
      <c r="IO5">
        <v>5</v>
      </c>
      <c r="IP5">
        <v>95</v>
      </c>
      <c r="IQ5">
        <v>0</v>
      </c>
      <c r="IR5">
        <v>90</v>
      </c>
      <c r="IS5">
        <v>10</v>
      </c>
      <c r="IT5">
        <v>0</v>
      </c>
      <c r="IU5">
        <v>2</v>
      </c>
      <c r="IV5">
        <v>50</v>
      </c>
      <c r="IW5">
        <v>48</v>
      </c>
      <c r="IX5">
        <v>2</v>
      </c>
      <c r="JD5">
        <v>0</v>
      </c>
      <c r="JE5">
        <v>25</v>
      </c>
      <c r="JF5">
        <v>75</v>
      </c>
      <c r="KE5">
        <v>100</v>
      </c>
      <c r="KF5">
        <v>25250</v>
      </c>
      <c r="KG5">
        <v>2000</v>
      </c>
      <c r="KH5">
        <v>1000</v>
      </c>
      <c r="KJ5">
        <v>100</v>
      </c>
      <c r="KK5">
        <v>25250</v>
      </c>
      <c r="KL5">
        <v>2000</v>
      </c>
      <c r="KM5">
        <v>1000</v>
      </c>
      <c r="KO5">
        <v>90</v>
      </c>
      <c r="KP5">
        <v>10</v>
      </c>
      <c r="KQ5">
        <v>0</v>
      </c>
      <c r="KR5">
        <v>20</v>
      </c>
      <c r="KS5">
        <v>50</v>
      </c>
      <c r="KT5">
        <v>30</v>
      </c>
      <c r="KU5">
        <v>0</v>
      </c>
      <c r="KV5">
        <v>100</v>
      </c>
      <c r="KW5">
        <v>0</v>
      </c>
      <c r="KX5">
        <v>0</v>
      </c>
      <c r="KY5">
        <v>100</v>
      </c>
      <c r="KZ5">
        <v>0</v>
      </c>
      <c r="OH5" s="15">
        <v>10</v>
      </c>
      <c r="OI5" s="15">
        <v>8</v>
      </c>
      <c r="OJ5" s="15">
        <v>10</v>
      </c>
      <c r="OK5" s="15">
        <v>2</v>
      </c>
      <c r="OL5" s="15">
        <v>5</v>
      </c>
      <c r="OM5" s="15">
        <v>10</v>
      </c>
      <c r="ON5" s="15">
        <v>2</v>
      </c>
      <c r="OO5" s="15">
        <v>1</v>
      </c>
      <c r="OQ5" t="s">
        <v>488</v>
      </c>
      <c r="OR5" t="s">
        <v>487</v>
      </c>
      <c r="OS5" t="s">
        <v>489</v>
      </c>
      <c r="OT5" t="s">
        <v>489</v>
      </c>
      <c r="OU5" t="s">
        <v>489</v>
      </c>
      <c r="OV5" t="s">
        <v>490</v>
      </c>
      <c r="OW5" t="s">
        <v>490</v>
      </c>
      <c r="OY5">
        <v>0</v>
      </c>
      <c r="OZ5">
        <v>5</v>
      </c>
      <c r="PA5">
        <v>1</v>
      </c>
      <c r="PB5">
        <v>1</v>
      </c>
      <c r="PC5">
        <v>5</v>
      </c>
      <c r="PD5">
        <v>0</v>
      </c>
      <c r="PE5">
        <v>0</v>
      </c>
      <c r="PF5">
        <v>0</v>
      </c>
      <c r="PG5">
        <v>0</v>
      </c>
      <c r="PH5">
        <v>0</v>
      </c>
      <c r="PI5">
        <v>0</v>
      </c>
      <c r="PJ5">
        <v>10</v>
      </c>
      <c r="PK5">
        <v>2</v>
      </c>
      <c r="PL5">
        <v>2</v>
      </c>
      <c r="PM5">
        <v>10</v>
      </c>
      <c r="PN5">
        <v>1</v>
      </c>
      <c r="PO5">
        <v>0</v>
      </c>
      <c r="PP5">
        <v>0</v>
      </c>
      <c r="PQ5">
        <v>0</v>
      </c>
      <c r="PR5">
        <v>0</v>
      </c>
      <c r="PT5" t="s">
        <v>487</v>
      </c>
      <c r="PU5" t="s">
        <v>497</v>
      </c>
      <c r="PV5">
        <v>90000</v>
      </c>
      <c r="PW5">
        <v>0</v>
      </c>
      <c r="PX5">
        <v>90000</v>
      </c>
      <c r="PY5" t="s">
        <v>493</v>
      </c>
      <c r="PZ5" t="s">
        <v>493</v>
      </c>
      <c r="QA5">
        <v>50</v>
      </c>
      <c r="QB5">
        <v>50</v>
      </c>
      <c r="QC5">
        <v>50</v>
      </c>
      <c r="QD5">
        <v>50</v>
      </c>
      <c r="QE5" t="s">
        <v>494</v>
      </c>
    </row>
    <row r="6" spans="1:486">
      <c r="A6">
        <v>11523</v>
      </c>
      <c r="B6" t="s">
        <v>485</v>
      </c>
      <c r="C6" t="s">
        <v>973</v>
      </c>
      <c r="D6" t="s">
        <v>511</v>
      </c>
      <c r="E6" t="s">
        <v>500</v>
      </c>
      <c r="F6" t="s">
        <v>505</v>
      </c>
      <c r="G6">
        <v>3</v>
      </c>
      <c r="H6" t="s">
        <v>487</v>
      </c>
      <c r="I6" t="s">
        <v>487</v>
      </c>
      <c r="J6" t="s">
        <v>487</v>
      </c>
      <c r="K6" t="s">
        <v>487</v>
      </c>
      <c r="L6" t="s">
        <v>489</v>
      </c>
      <c r="M6" t="s">
        <v>489</v>
      </c>
      <c r="N6" t="s">
        <v>489</v>
      </c>
      <c r="O6" t="s">
        <v>490</v>
      </c>
      <c r="P6" t="s">
        <v>490</v>
      </c>
      <c r="Q6" t="s">
        <v>490</v>
      </c>
      <c r="R6" t="s">
        <v>489</v>
      </c>
      <c r="S6" t="s">
        <v>489</v>
      </c>
      <c r="T6" t="s">
        <v>489</v>
      </c>
      <c r="U6" t="s">
        <v>489</v>
      </c>
      <c r="V6" t="s">
        <v>490</v>
      </c>
      <c r="W6" t="s">
        <v>489</v>
      </c>
      <c r="X6" t="s">
        <v>489</v>
      </c>
      <c r="Y6" t="s">
        <v>490</v>
      </c>
      <c r="Z6" t="s">
        <v>490</v>
      </c>
      <c r="AA6" t="s">
        <v>489</v>
      </c>
      <c r="AB6" t="s">
        <v>490</v>
      </c>
      <c r="AC6" t="s">
        <v>489</v>
      </c>
      <c r="AD6" t="s">
        <v>489</v>
      </c>
      <c r="AE6" t="s">
        <v>490</v>
      </c>
      <c r="AF6" t="s">
        <v>489</v>
      </c>
      <c r="AG6" t="s">
        <v>489</v>
      </c>
      <c r="AH6" t="s">
        <v>490</v>
      </c>
      <c r="AI6" t="s">
        <v>490</v>
      </c>
      <c r="AJ6" t="s">
        <v>490</v>
      </c>
      <c r="AK6" t="s">
        <v>489</v>
      </c>
      <c r="AL6" t="s">
        <v>489</v>
      </c>
      <c r="AM6" t="s">
        <v>489</v>
      </c>
      <c r="AN6" t="s">
        <v>490</v>
      </c>
      <c r="AO6" t="s">
        <v>489</v>
      </c>
      <c r="AP6" t="s">
        <v>489</v>
      </c>
      <c r="AQ6" t="s">
        <v>490</v>
      </c>
      <c r="AR6" t="s">
        <v>489</v>
      </c>
      <c r="AS6" t="s">
        <v>490</v>
      </c>
      <c r="AT6" t="s">
        <v>490</v>
      </c>
      <c r="AU6" t="s">
        <v>489</v>
      </c>
      <c r="AV6" t="s">
        <v>490</v>
      </c>
      <c r="AW6" t="s">
        <v>490</v>
      </c>
      <c r="AX6" t="s">
        <v>489</v>
      </c>
      <c r="AY6" t="s">
        <v>489</v>
      </c>
      <c r="AZ6" t="s">
        <v>490</v>
      </c>
      <c r="BA6" t="s">
        <v>489</v>
      </c>
      <c r="BB6" t="s">
        <v>489</v>
      </c>
      <c r="BC6" t="s">
        <v>490</v>
      </c>
      <c r="BD6" t="s">
        <v>489</v>
      </c>
      <c r="BE6" t="s">
        <v>489</v>
      </c>
      <c r="BF6" t="s">
        <v>490</v>
      </c>
      <c r="BG6" t="s">
        <v>489</v>
      </c>
      <c r="BH6" t="s">
        <v>489</v>
      </c>
      <c r="BI6" t="s">
        <v>490</v>
      </c>
      <c r="BJ6" t="s">
        <v>489</v>
      </c>
      <c r="BK6" t="s">
        <v>489</v>
      </c>
      <c r="BL6" t="s">
        <v>490</v>
      </c>
      <c r="BM6" t="s">
        <v>489</v>
      </c>
      <c r="BN6" t="s">
        <v>490</v>
      </c>
      <c r="BO6" t="s">
        <v>490</v>
      </c>
      <c r="BP6" t="s">
        <v>490</v>
      </c>
      <c r="BQ6" t="s">
        <v>490</v>
      </c>
      <c r="BR6" t="s">
        <v>489</v>
      </c>
      <c r="BS6" t="s">
        <v>490</v>
      </c>
      <c r="BT6" t="s">
        <v>490</v>
      </c>
      <c r="BU6" t="s">
        <v>489</v>
      </c>
      <c r="BV6" t="s">
        <v>490</v>
      </c>
      <c r="BW6" t="s">
        <v>490</v>
      </c>
      <c r="BX6" t="s">
        <v>489</v>
      </c>
      <c r="BY6" t="s">
        <v>489</v>
      </c>
      <c r="BZ6" t="s">
        <v>490</v>
      </c>
      <c r="CA6" t="s">
        <v>490</v>
      </c>
      <c r="DI6" t="s">
        <v>489</v>
      </c>
      <c r="DJ6" t="s">
        <v>490</v>
      </c>
      <c r="DK6" t="s">
        <v>490</v>
      </c>
      <c r="DL6" t="s">
        <v>489</v>
      </c>
      <c r="DM6" t="s">
        <v>490</v>
      </c>
      <c r="DN6" t="s">
        <v>490</v>
      </c>
      <c r="DO6" t="s">
        <v>490</v>
      </c>
      <c r="DP6" t="s">
        <v>489</v>
      </c>
      <c r="DQ6" t="s">
        <v>490</v>
      </c>
      <c r="DR6" t="s">
        <v>489</v>
      </c>
      <c r="DS6" t="s">
        <v>489</v>
      </c>
      <c r="DT6" t="s">
        <v>490</v>
      </c>
      <c r="DU6" t="s">
        <v>489</v>
      </c>
      <c r="DV6" t="s">
        <v>489</v>
      </c>
      <c r="DW6" t="s">
        <v>490</v>
      </c>
      <c r="DX6" t="s">
        <v>490</v>
      </c>
      <c r="DY6" t="s">
        <v>490</v>
      </c>
      <c r="DZ6" t="s">
        <v>489</v>
      </c>
      <c r="EA6" t="s">
        <v>490</v>
      </c>
      <c r="EB6" t="s">
        <v>489</v>
      </c>
      <c r="EC6" t="s">
        <v>490</v>
      </c>
      <c r="ED6" t="s">
        <v>490</v>
      </c>
      <c r="EE6" t="s">
        <v>490</v>
      </c>
      <c r="EF6" t="s">
        <v>489</v>
      </c>
      <c r="EG6" t="s">
        <v>490</v>
      </c>
      <c r="EH6" t="s">
        <v>490</v>
      </c>
      <c r="EI6" t="s">
        <v>489</v>
      </c>
      <c r="EJ6" t="s">
        <v>490</v>
      </c>
      <c r="EK6" t="s">
        <v>489</v>
      </c>
      <c r="EL6" t="s">
        <v>490</v>
      </c>
      <c r="EM6" t="s">
        <v>490</v>
      </c>
      <c r="EN6" t="s">
        <v>490</v>
      </c>
      <c r="EO6" t="s">
        <v>489</v>
      </c>
      <c r="EP6" t="s">
        <v>490</v>
      </c>
      <c r="EQ6" t="s">
        <v>489</v>
      </c>
      <c r="ER6" t="s">
        <v>490</v>
      </c>
      <c r="ES6" t="s">
        <v>490</v>
      </c>
      <c r="ET6" t="s">
        <v>489</v>
      </c>
      <c r="EU6" t="s">
        <v>490</v>
      </c>
      <c r="EV6" t="s">
        <v>490</v>
      </c>
      <c r="EW6" t="s">
        <v>490</v>
      </c>
      <c r="EX6" t="s">
        <v>489</v>
      </c>
      <c r="EY6">
        <v>98</v>
      </c>
      <c r="EZ6">
        <v>8</v>
      </c>
      <c r="FA6">
        <v>20</v>
      </c>
      <c r="FB6" t="s">
        <v>543</v>
      </c>
      <c r="OH6" s="15">
        <v>10</v>
      </c>
      <c r="OI6" s="15">
        <v>5</v>
      </c>
      <c r="OJ6" s="15">
        <v>10</v>
      </c>
      <c r="OK6" s="15">
        <v>5</v>
      </c>
      <c r="OL6" s="15">
        <v>2</v>
      </c>
      <c r="OM6" s="15">
        <v>10</v>
      </c>
      <c r="ON6" s="15">
        <v>2</v>
      </c>
      <c r="OO6" s="15">
        <v>1</v>
      </c>
      <c r="OQ6" t="s">
        <v>487</v>
      </c>
      <c r="OR6" t="s">
        <v>487</v>
      </c>
      <c r="OS6" t="s">
        <v>489</v>
      </c>
      <c r="OT6" t="s">
        <v>490</v>
      </c>
      <c r="OU6" t="s">
        <v>489</v>
      </c>
      <c r="OV6" t="s">
        <v>489</v>
      </c>
      <c r="OW6" t="s">
        <v>490</v>
      </c>
      <c r="OY6">
        <v>0</v>
      </c>
      <c r="OZ6">
        <v>100</v>
      </c>
      <c r="PA6">
        <v>5</v>
      </c>
      <c r="PB6">
        <v>2</v>
      </c>
      <c r="PC6">
        <v>2</v>
      </c>
      <c r="PD6">
        <v>0</v>
      </c>
      <c r="PE6">
        <v>0</v>
      </c>
      <c r="PF6">
        <v>0</v>
      </c>
      <c r="PG6">
        <v>0</v>
      </c>
      <c r="PH6">
        <v>100</v>
      </c>
      <c r="PI6">
        <v>0</v>
      </c>
      <c r="PJ6">
        <v>100</v>
      </c>
      <c r="PK6">
        <v>25</v>
      </c>
      <c r="PL6">
        <v>15</v>
      </c>
      <c r="PM6">
        <v>10</v>
      </c>
      <c r="PN6">
        <v>0</v>
      </c>
      <c r="PO6">
        <v>0</v>
      </c>
      <c r="PP6">
        <v>0</v>
      </c>
      <c r="PQ6">
        <v>0</v>
      </c>
      <c r="PR6">
        <v>100</v>
      </c>
      <c r="PS6" t="s">
        <v>575</v>
      </c>
      <c r="PT6" t="s">
        <v>487</v>
      </c>
      <c r="PU6" t="s">
        <v>492</v>
      </c>
      <c r="PV6">
        <v>100000</v>
      </c>
      <c r="PW6">
        <v>200000</v>
      </c>
      <c r="PX6">
        <v>300000</v>
      </c>
      <c r="PY6" t="s">
        <v>510</v>
      </c>
      <c r="PZ6" t="s">
        <v>493</v>
      </c>
      <c r="QA6">
        <v>80</v>
      </c>
      <c r="QB6">
        <v>20</v>
      </c>
      <c r="QC6">
        <v>80</v>
      </c>
      <c r="QD6">
        <v>20</v>
      </c>
      <c r="QE6" t="s">
        <v>508</v>
      </c>
      <c r="QZ6">
        <v>1.2</v>
      </c>
      <c r="RA6">
        <v>0.2</v>
      </c>
      <c r="RB6" t="s">
        <v>489</v>
      </c>
      <c r="RC6" t="s">
        <v>490</v>
      </c>
      <c r="RD6" t="s">
        <v>489</v>
      </c>
      <c r="RE6" t="s">
        <v>490</v>
      </c>
      <c r="RF6" t="s">
        <v>489</v>
      </c>
      <c r="RG6" t="s">
        <v>490</v>
      </c>
      <c r="RH6" t="s">
        <v>490</v>
      </c>
      <c r="RI6" t="s">
        <v>490</v>
      </c>
      <c r="RR6" t="s">
        <v>576</v>
      </c>
    </row>
    <row r="7" spans="1:486">
      <c r="A7">
        <v>12105</v>
      </c>
      <c r="B7" t="s">
        <v>485</v>
      </c>
      <c r="C7" t="s">
        <v>973</v>
      </c>
      <c r="D7" t="s">
        <v>511</v>
      </c>
      <c r="E7" t="s">
        <v>500</v>
      </c>
      <c r="F7" t="s">
        <v>496</v>
      </c>
      <c r="G7">
        <v>3672</v>
      </c>
      <c r="H7" t="s">
        <v>487</v>
      </c>
      <c r="I7" t="s">
        <v>487</v>
      </c>
      <c r="J7" t="s">
        <v>488</v>
      </c>
      <c r="K7" t="s">
        <v>487</v>
      </c>
      <c r="L7" t="s">
        <v>489</v>
      </c>
      <c r="M7" t="s">
        <v>489</v>
      </c>
      <c r="N7" t="s">
        <v>489</v>
      </c>
      <c r="O7" t="s">
        <v>490</v>
      </c>
      <c r="P7" t="s">
        <v>490</v>
      </c>
      <c r="Q7" t="s">
        <v>489</v>
      </c>
      <c r="R7" t="s">
        <v>489</v>
      </c>
      <c r="S7" t="s">
        <v>489</v>
      </c>
      <c r="T7" t="s">
        <v>489</v>
      </c>
      <c r="U7" t="s">
        <v>490</v>
      </c>
      <c r="V7" t="s">
        <v>490</v>
      </c>
      <c r="W7" t="s">
        <v>489</v>
      </c>
      <c r="X7" t="s">
        <v>490</v>
      </c>
      <c r="Y7" t="s">
        <v>490</v>
      </c>
      <c r="Z7" t="s">
        <v>490</v>
      </c>
      <c r="AA7" t="s">
        <v>489</v>
      </c>
      <c r="AB7" t="s">
        <v>490</v>
      </c>
      <c r="AC7" t="s">
        <v>490</v>
      </c>
      <c r="AD7" t="s">
        <v>490</v>
      </c>
      <c r="AE7" t="s">
        <v>489</v>
      </c>
      <c r="AF7" t="s">
        <v>489</v>
      </c>
      <c r="AG7" t="s">
        <v>489</v>
      </c>
      <c r="AH7" t="s">
        <v>490</v>
      </c>
      <c r="AI7" t="s">
        <v>490</v>
      </c>
      <c r="AJ7" t="s">
        <v>490</v>
      </c>
      <c r="AK7" t="s">
        <v>489</v>
      </c>
      <c r="AL7" t="s">
        <v>490</v>
      </c>
      <c r="AM7" t="s">
        <v>490</v>
      </c>
      <c r="AN7" t="s">
        <v>489</v>
      </c>
      <c r="AO7" t="s">
        <v>490</v>
      </c>
      <c r="AP7" t="s">
        <v>490</v>
      </c>
      <c r="AQ7" t="s">
        <v>489</v>
      </c>
      <c r="AR7" t="s">
        <v>490</v>
      </c>
      <c r="AS7" t="s">
        <v>489</v>
      </c>
      <c r="AT7" t="s">
        <v>490</v>
      </c>
      <c r="AU7" t="s">
        <v>490</v>
      </c>
      <c r="AV7" t="s">
        <v>490</v>
      </c>
      <c r="AW7" t="s">
        <v>489</v>
      </c>
      <c r="AX7" t="s">
        <v>490</v>
      </c>
      <c r="AY7" t="s">
        <v>490</v>
      </c>
      <c r="AZ7" t="s">
        <v>489</v>
      </c>
      <c r="BA7" t="s">
        <v>490</v>
      </c>
      <c r="BB7" t="s">
        <v>490</v>
      </c>
      <c r="BC7" t="s">
        <v>489</v>
      </c>
      <c r="BD7" t="s">
        <v>489</v>
      </c>
      <c r="BE7" t="s">
        <v>490</v>
      </c>
      <c r="BF7" t="s">
        <v>490</v>
      </c>
      <c r="BG7" t="s">
        <v>490</v>
      </c>
      <c r="BH7" t="s">
        <v>490</v>
      </c>
      <c r="BI7" t="s">
        <v>489</v>
      </c>
      <c r="BJ7" t="s">
        <v>489</v>
      </c>
      <c r="BK7" t="s">
        <v>489</v>
      </c>
      <c r="BL7" t="s">
        <v>490</v>
      </c>
      <c r="BM7" t="s">
        <v>490</v>
      </c>
      <c r="BN7" t="s">
        <v>490</v>
      </c>
      <c r="BO7" t="s">
        <v>489</v>
      </c>
      <c r="BP7" t="s">
        <v>490</v>
      </c>
      <c r="BQ7" t="s">
        <v>490</v>
      </c>
      <c r="BR7" t="s">
        <v>489</v>
      </c>
      <c r="BS7" t="s">
        <v>490</v>
      </c>
      <c r="BT7" t="s">
        <v>490</v>
      </c>
      <c r="BU7" t="s">
        <v>489</v>
      </c>
      <c r="BV7" t="s">
        <v>489</v>
      </c>
      <c r="BW7" t="s">
        <v>489</v>
      </c>
      <c r="BX7" t="s">
        <v>490</v>
      </c>
      <c r="BY7" t="s">
        <v>489</v>
      </c>
      <c r="BZ7" t="s">
        <v>489</v>
      </c>
      <c r="CA7" t="s">
        <v>490</v>
      </c>
      <c r="CW7" t="s">
        <v>489</v>
      </c>
      <c r="CX7" t="s">
        <v>490</v>
      </c>
      <c r="CY7" t="s">
        <v>490</v>
      </c>
      <c r="CZ7" t="s">
        <v>490</v>
      </c>
      <c r="DA7" t="s">
        <v>490</v>
      </c>
      <c r="DB7" t="s">
        <v>489</v>
      </c>
      <c r="DC7" t="s">
        <v>490</v>
      </c>
      <c r="DD7" t="s">
        <v>490</v>
      </c>
      <c r="DE7" t="s">
        <v>489</v>
      </c>
      <c r="DF7" t="s">
        <v>490</v>
      </c>
      <c r="DG7" t="s">
        <v>490</v>
      </c>
      <c r="DH7" t="s">
        <v>489</v>
      </c>
      <c r="DI7" t="s">
        <v>490</v>
      </c>
      <c r="DJ7" t="s">
        <v>490</v>
      </c>
      <c r="DK7" t="s">
        <v>489</v>
      </c>
      <c r="DL7" t="s">
        <v>490</v>
      </c>
      <c r="DM7" t="s">
        <v>489</v>
      </c>
      <c r="DN7" t="s">
        <v>490</v>
      </c>
      <c r="DO7" t="s">
        <v>490</v>
      </c>
      <c r="DP7" t="s">
        <v>490</v>
      </c>
      <c r="DQ7" t="s">
        <v>489</v>
      </c>
      <c r="DR7" t="s">
        <v>490</v>
      </c>
      <c r="DS7" t="s">
        <v>489</v>
      </c>
      <c r="DT7" t="s">
        <v>490</v>
      </c>
      <c r="DU7" t="s">
        <v>490</v>
      </c>
      <c r="DV7" t="s">
        <v>489</v>
      </c>
      <c r="DW7" t="s">
        <v>490</v>
      </c>
      <c r="DX7" t="s">
        <v>490</v>
      </c>
      <c r="DY7" t="s">
        <v>490</v>
      </c>
      <c r="DZ7" t="s">
        <v>489</v>
      </c>
      <c r="EA7" t="s">
        <v>490</v>
      </c>
      <c r="EB7" t="s">
        <v>489</v>
      </c>
      <c r="EC7" t="s">
        <v>490</v>
      </c>
      <c r="ED7" t="s">
        <v>490</v>
      </c>
      <c r="EE7" t="s">
        <v>490</v>
      </c>
      <c r="EF7" t="s">
        <v>489</v>
      </c>
      <c r="EG7" t="s">
        <v>490</v>
      </c>
      <c r="EH7" t="s">
        <v>490</v>
      </c>
      <c r="EI7" t="s">
        <v>489</v>
      </c>
      <c r="EJ7" t="s">
        <v>490</v>
      </c>
      <c r="EK7" t="s">
        <v>490</v>
      </c>
      <c r="EL7" t="s">
        <v>489</v>
      </c>
      <c r="EM7" t="s">
        <v>490</v>
      </c>
      <c r="EN7" t="s">
        <v>490</v>
      </c>
      <c r="EO7" t="s">
        <v>489</v>
      </c>
      <c r="EP7" t="s">
        <v>490</v>
      </c>
      <c r="EQ7" t="s">
        <v>490</v>
      </c>
      <c r="ER7" t="s">
        <v>489</v>
      </c>
      <c r="ES7" t="s">
        <v>490</v>
      </c>
      <c r="ET7" t="s">
        <v>489</v>
      </c>
      <c r="EU7" t="s">
        <v>490</v>
      </c>
      <c r="EV7" t="s">
        <v>490</v>
      </c>
      <c r="EW7" t="s">
        <v>489</v>
      </c>
      <c r="EX7" t="s">
        <v>490</v>
      </c>
      <c r="EY7">
        <v>40</v>
      </c>
      <c r="EZ7">
        <v>60</v>
      </c>
      <c r="FA7">
        <v>15</v>
      </c>
      <c r="FB7" t="s">
        <v>491</v>
      </c>
      <c r="OH7" s="15">
        <v>0</v>
      </c>
      <c r="OI7" s="15">
        <v>0</v>
      </c>
      <c r="OJ7" s="15">
        <v>0</v>
      </c>
      <c r="OK7" s="15">
        <v>0</v>
      </c>
      <c r="OL7" s="15">
        <v>0</v>
      </c>
      <c r="OM7" s="15">
        <v>0</v>
      </c>
      <c r="ON7" s="15">
        <v>0</v>
      </c>
      <c r="OO7" s="15">
        <v>0</v>
      </c>
      <c r="RJ7" t="s">
        <v>601</v>
      </c>
    </row>
    <row r="8" spans="1:486">
      <c r="A8">
        <v>12038</v>
      </c>
      <c r="B8" t="s">
        <v>485</v>
      </c>
      <c r="C8" t="s">
        <v>973</v>
      </c>
      <c r="D8" t="s">
        <v>511</v>
      </c>
      <c r="E8" t="s">
        <v>500</v>
      </c>
      <c r="F8" t="s">
        <v>545</v>
      </c>
      <c r="G8">
        <v>90</v>
      </c>
      <c r="H8" t="s">
        <v>487</v>
      </c>
      <c r="I8" t="s">
        <v>487</v>
      </c>
      <c r="J8" t="s">
        <v>487</v>
      </c>
      <c r="K8" t="s">
        <v>487</v>
      </c>
      <c r="L8" t="s">
        <v>489</v>
      </c>
      <c r="M8" t="s">
        <v>489</v>
      </c>
      <c r="N8" t="s">
        <v>490</v>
      </c>
      <c r="O8" t="s">
        <v>489</v>
      </c>
      <c r="P8" t="s">
        <v>490</v>
      </c>
      <c r="Q8" t="s">
        <v>489</v>
      </c>
      <c r="R8" t="s">
        <v>489</v>
      </c>
      <c r="S8" t="s">
        <v>489</v>
      </c>
      <c r="T8" t="s">
        <v>489</v>
      </c>
      <c r="U8" t="s">
        <v>489</v>
      </c>
      <c r="V8" t="s">
        <v>490</v>
      </c>
      <c r="W8" t="s">
        <v>489</v>
      </c>
      <c r="X8" t="s">
        <v>489</v>
      </c>
      <c r="Y8" t="s">
        <v>490</v>
      </c>
      <c r="Z8" t="s">
        <v>490</v>
      </c>
      <c r="AA8" t="s">
        <v>489</v>
      </c>
      <c r="AB8" t="s">
        <v>490</v>
      </c>
      <c r="AC8" t="s">
        <v>490</v>
      </c>
      <c r="AD8" t="s">
        <v>490</v>
      </c>
      <c r="AE8" t="s">
        <v>489</v>
      </c>
      <c r="AF8" t="s">
        <v>489</v>
      </c>
      <c r="AG8" t="s">
        <v>489</v>
      </c>
      <c r="AH8" t="s">
        <v>490</v>
      </c>
      <c r="AI8" t="s">
        <v>489</v>
      </c>
      <c r="AJ8" t="s">
        <v>490</v>
      </c>
      <c r="AK8" t="s">
        <v>490</v>
      </c>
      <c r="AL8" t="s">
        <v>490</v>
      </c>
      <c r="AM8" t="s">
        <v>490</v>
      </c>
      <c r="AN8" t="s">
        <v>489</v>
      </c>
      <c r="AO8" t="s">
        <v>490</v>
      </c>
      <c r="AP8" t="s">
        <v>490</v>
      </c>
      <c r="AQ8" t="s">
        <v>489</v>
      </c>
      <c r="AR8" t="s">
        <v>489</v>
      </c>
      <c r="AS8" t="s">
        <v>490</v>
      </c>
      <c r="AT8" t="s">
        <v>490</v>
      </c>
      <c r="AU8" t="s">
        <v>490</v>
      </c>
      <c r="AV8" t="s">
        <v>490</v>
      </c>
      <c r="AW8" t="s">
        <v>489</v>
      </c>
      <c r="AX8" t="s">
        <v>489</v>
      </c>
      <c r="AY8" t="s">
        <v>489</v>
      </c>
      <c r="AZ8" t="s">
        <v>490</v>
      </c>
      <c r="BA8" t="s">
        <v>489</v>
      </c>
      <c r="BB8" t="s">
        <v>489</v>
      </c>
      <c r="BC8" t="s">
        <v>490</v>
      </c>
      <c r="BD8" t="s">
        <v>489</v>
      </c>
      <c r="BE8" t="s">
        <v>489</v>
      </c>
      <c r="BF8" t="s">
        <v>490</v>
      </c>
      <c r="BG8" t="s">
        <v>489</v>
      </c>
      <c r="BH8" t="s">
        <v>489</v>
      </c>
      <c r="BI8" t="s">
        <v>490</v>
      </c>
      <c r="BJ8" t="s">
        <v>489</v>
      </c>
      <c r="BK8" t="s">
        <v>489</v>
      </c>
      <c r="BL8" t="s">
        <v>490</v>
      </c>
      <c r="BM8" t="s">
        <v>490</v>
      </c>
      <c r="BN8" t="s">
        <v>490</v>
      </c>
      <c r="BO8" t="s">
        <v>489</v>
      </c>
      <c r="BP8" t="s">
        <v>490</v>
      </c>
      <c r="BQ8" t="s">
        <v>490</v>
      </c>
      <c r="BR8" t="s">
        <v>489</v>
      </c>
      <c r="BS8" t="s">
        <v>490</v>
      </c>
      <c r="BT8" t="s">
        <v>490</v>
      </c>
      <c r="BU8" t="s">
        <v>489</v>
      </c>
      <c r="CB8" t="s">
        <v>489</v>
      </c>
      <c r="CC8" t="s">
        <v>489</v>
      </c>
      <c r="CD8" t="s">
        <v>490</v>
      </c>
      <c r="CE8" t="s">
        <v>490</v>
      </c>
      <c r="CF8" t="s">
        <v>490</v>
      </c>
      <c r="CG8" t="s">
        <v>489</v>
      </c>
      <c r="CH8" t="s">
        <v>489</v>
      </c>
      <c r="CI8" t="s">
        <v>489</v>
      </c>
      <c r="CJ8" t="s">
        <v>490</v>
      </c>
      <c r="CK8" t="s">
        <v>490</v>
      </c>
      <c r="CL8" t="s">
        <v>490</v>
      </c>
      <c r="CM8" t="s">
        <v>489</v>
      </c>
      <c r="CN8" t="s">
        <v>490</v>
      </c>
      <c r="CO8" t="s">
        <v>490</v>
      </c>
      <c r="CP8" t="s">
        <v>489</v>
      </c>
      <c r="CW8" t="s">
        <v>489</v>
      </c>
      <c r="CX8" t="s">
        <v>489</v>
      </c>
      <c r="CY8" t="s">
        <v>490</v>
      </c>
      <c r="CZ8" t="s">
        <v>490</v>
      </c>
      <c r="DA8" t="s">
        <v>490</v>
      </c>
      <c r="DB8" t="s">
        <v>489</v>
      </c>
      <c r="DC8" t="s">
        <v>490</v>
      </c>
      <c r="DD8" t="s">
        <v>490</v>
      </c>
      <c r="DE8" t="s">
        <v>489</v>
      </c>
      <c r="DF8" t="s">
        <v>490</v>
      </c>
      <c r="DG8" t="s">
        <v>490</v>
      </c>
      <c r="DH8" t="s">
        <v>489</v>
      </c>
      <c r="DI8" t="s">
        <v>490</v>
      </c>
      <c r="DJ8" t="s">
        <v>490</v>
      </c>
      <c r="DK8" t="s">
        <v>489</v>
      </c>
      <c r="DL8" t="s">
        <v>489</v>
      </c>
      <c r="DM8" t="s">
        <v>489</v>
      </c>
      <c r="DN8" t="s">
        <v>490</v>
      </c>
      <c r="DO8" t="s">
        <v>490</v>
      </c>
      <c r="DP8" t="s">
        <v>490</v>
      </c>
      <c r="DQ8" t="s">
        <v>489</v>
      </c>
      <c r="DR8" t="s">
        <v>490</v>
      </c>
      <c r="DS8" t="s">
        <v>490</v>
      </c>
      <c r="DT8" t="s">
        <v>489</v>
      </c>
      <c r="DU8" t="s">
        <v>490</v>
      </c>
      <c r="DV8" t="s">
        <v>489</v>
      </c>
      <c r="DW8" t="s">
        <v>490</v>
      </c>
      <c r="DX8" t="s">
        <v>490</v>
      </c>
      <c r="DY8" t="s">
        <v>490</v>
      </c>
      <c r="DZ8" t="s">
        <v>489</v>
      </c>
      <c r="EA8" t="s">
        <v>490</v>
      </c>
      <c r="EB8" t="s">
        <v>489</v>
      </c>
      <c r="EC8" t="s">
        <v>490</v>
      </c>
      <c r="ED8" t="s">
        <v>490</v>
      </c>
      <c r="EE8" t="s">
        <v>489</v>
      </c>
      <c r="EF8" t="s">
        <v>490</v>
      </c>
      <c r="EG8" t="s">
        <v>490</v>
      </c>
      <c r="EH8" t="s">
        <v>490</v>
      </c>
      <c r="EI8" t="s">
        <v>489</v>
      </c>
      <c r="EJ8" t="s">
        <v>490</v>
      </c>
      <c r="EK8" t="s">
        <v>489</v>
      </c>
      <c r="EL8" t="s">
        <v>490</v>
      </c>
      <c r="EM8" t="s">
        <v>490</v>
      </c>
      <c r="EN8" t="s">
        <v>490</v>
      </c>
      <c r="EO8" t="s">
        <v>489</v>
      </c>
      <c r="EP8" t="s">
        <v>490</v>
      </c>
      <c r="EQ8" t="s">
        <v>489</v>
      </c>
      <c r="ER8" t="s">
        <v>490</v>
      </c>
      <c r="ES8" t="s">
        <v>490</v>
      </c>
      <c r="ET8" t="s">
        <v>490</v>
      </c>
      <c r="EU8" t="s">
        <v>489</v>
      </c>
      <c r="EV8" t="s">
        <v>490</v>
      </c>
      <c r="EW8" t="s">
        <v>490</v>
      </c>
      <c r="EX8" t="s">
        <v>489</v>
      </c>
      <c r="EY8">
        <v>90</v>
      </c>
      <c r="EZ8">
        <v>10</v>
      </c>
      <c r="FA8">
        <v>40</v>
      </c>
      <c r="FB8" t="s">
        <v>543</v>
      </c>
      <c r="OH8" s="15">
        <v>9</v>
      </c>
      <c r="OI8" s="15">
        <v>8</v>
      </c>
      <c r="OJ8" s="15">
        <v>8</v>
      </c>
      <c r="OK8" s="15">
        <v>4</v>
      </c>
      <c r="OL8" s="15">
        <v>8</v>
      </c>
      <c r="OM8" s="15">
        <v>8</v>
      </c>
      <c r="ON8" s="15">
        <v>4</v>
      </c>
      <c r="OO8" s="15">
        <v>4</v>
      </c>
      <c r="OQ8" t="s">
        <v>487</v>
      </c>
      <c r="OR8" t="s">
        <v>488</v>
      </c>
      <c r="OY8">
        <v>100</v>
      </c>
      <c r="OZ8">
        <v>90</v>
      </c>
      <c r="PA8">
        <v>5</v>
      </c>
      <c r="PB8">
        <v>5</v>
      </c>
      <c r="PC8">
        <v>0</v>
      </c>
      <c r="PD8">
        <v>0</v>
      </c>
      <c r="PE8">
        <v>0</v>
      </c>
      <c r="PF8">
        <v>5</v>
      </c>
      <c r="PG8">
        <v>0</v>
      </c>
      <c r="PH8">
        <v>0</v>
      </c>
      <c r="PI8">
        <v>100</v>
      </c>
      <c r="PJ8">
        <v>95</v>
      </c>
      <c r="PK8">
        <v>10</v>
      </c>
      <c r="PL8">
        <v>10</v>
      </c>
      <c r="PM8">
        <v>0</v>
      </c>
      <c r="PN8">
        <v>0</v>
      </c>
      <c r="PO8">
        <v>0</v>
      </c>
      <c r="PP8">
        <v>10</v>
      </c>
      <c r="PQ8">
        <v>0</v>
      </c>
      <c r="PR8">
        <v>0</v>
      </c>
      <c r="PT8" t="s">
        <v>487</v>
      </c>
      <c r="PU8" t="s">
        <v>492</v>
      </c>
      <c r="PV8">
        <v>100000</v>
      </c>
      <c r="PW8">
        <v>50000</v>
      </c>
      <c r="PX8">
        <v>150000</v>
      </c>
      <c r="PY8" t="s">
        <v>493</v>
      </c>
      <c r="PZ8" t="s">
        <v>493</v>
      </c>
      <c r="QA8">
        <v>50</v>
      </c>
      <c r="QB8">
        <v>50</v>
      </c>
      <c r="QC8">
        <v>90</v>
      </c>
      <c r="QD8">
        <v>10</v>
      </c>
      <c r="QE8" t="s">
        <v>494</v>
      </c>
      <c r="QF8">
        <v>10</v>
      </c>
      <c r="QG8">
        <v>5</v>
      </c>
      <c r="QH8">
        <v>0</v>
      </c>
      <c r="QI8">
        <v>5</v>
      </c>
      <c r="QJ8">
        <v>10</v>
      </c>
      <c r="QK8">
        <v>5</v>
      </c>
      <c r="QL8">
        <v>35</v>
      </c>
      <c r="QM8">
        <v>30</v>
      </c>
      <c r="QN8">
        <v>0</v>
      </c>
      <c r="QP8">
        <v>60</v>
      </c>
      <c r="QQ8">
        <v>5</v>
      </c>
      <c r="QR8">
        <v>5</v>
      </c>
      <c r="QS8">
        <v>5</v>
      </c>
      <c r="QT8">
        <v>10</v>
      </c>
      <c r="QU8">
        <v>5</v>
      </c>
      <c r="QV8">
        <v>5</v>
      </c>
      <c r="QW8">
        <v>5</v>
      </c>
      <c r="QX8">
        <v>0</v>
      </c>
      <c r="QZ8">
        <v>3</v>
      </c>
      <c r="RA8">
        <v>0.2</v>
      </c>
      <c r="RB8" t="s">
        <v>489</v>
      </c>
      <c r="RC8" t="s">
        <v>490</v>
      </c>
      <c r="RD8" t="s">
        <v>489</v>
      </c>
      <c r="RE8" t="s">
        <v>490</v>
      </c>
      <c r="RF8" t="s">
        <v>490</v>
      </c>
      <c r="RG8" t="s">
        <v>490</v>
      </c>
      <c r="RH8" t="s">
        <v>490</v>
      </c>
      <c r="RI8" t="s">
        <v>490</v>
      </c>
      <c r="RR8" t="s">
        <v>636</v>
      </c>
    </row>
    <row r="9" spans="1:486">
      <c r="A9">
        <v>1003500</v>
      </c>
      <c r="B9" t="s">
        <v>498</v>
      </c>
      <c r="C9" t="s">
        <v>954</v>
      </c>
      <c r="D9" t="s">
        <v>528</v>
      </c>
      <c r="E9" t="s">
        <v>500</v>
      </c>
      <c r="F9" t="s">
        <v>505</v>
      </c>
      <c r="G9">
        <v>1.8</v>
      </c>
      <c r="H9" t="s">
        <v>487</v>
      </c>
      <c r="I9" t="s">
        <v>487</v>
      </c>
      <c r="J9" t="s">
        <v>488</v>
      </c>
      <c r="K9" t="s">
        <v>519</v>
      </c>
      <c r="L9" t="s">
        <v>489</v>
      </c>
      <c r="M9" t="s">
        <v>489</v>
      </c>
      <c r="N9" t="s">
        <v>489</v>
      </c>
      <c r="O9" t="s">
        <v>490</v>
      </c>
      <c r="P9" t="s">
        <v>490</v>
      </c>
      <c r="Q9" t="s">
        <v>489</v>
      </c>
      <c r="R9" t="s">
        <v>489</v>
      </c>
      <c r="S9" t="s">
        <v>489</v>
      </c>
      <c r="FB9" t="s">
        <v>543</v>
      </c>
      <c r="OH9" s="15">
        <v>0</v>
      </c>
      <c r="OI9" s="15">
        <v>0</v>
      </c>
      <c r="OJ9" s="15">
        <v>0</v>
      </c>
      <c r="OK9" s="15">
        <v>0</v>
      </c>
      <c r="OL9" s="15">
        <v>0</v>
      </c>
      <c r="OM9" s="15">
        <v>0</v>
      </c>
      <c r="ON9" s="15">
        <v>0</v>
      </c>
      <c r="OO9" s="15">
        <v>0</v>
      </c>
    </row>
    <row r="10" spans="1:486">
      <c r="A10">
        <v>11899</v>
      </c>
      <c r="B10" t="s">
        <v>498</v>
      </c>
      <c r="C10" t="s">
        <v>954</v>
      </c>
      <c r="D10" t="s">
        <v>528</v>
      </c>
      <c r="E10" t="s">
        <v>500</v>
      </c>
      <c r="F10" t="s">
        <v>496</v>
      </c>
      <c r="G10">
        <v>300</v>
      </c>
      <c r="H10" t="s">
        <v>487</v>
      </c>
      <c r="I10" t="s">
        <v>487</v>
      </c>
      <c r="J10" t="s">
        <v>519</v>
      </c>
      <c r="K10" t="s">
        <v>487</v>
      </c>
      <c r="L10" t="s">
        <v>489</v>
      </c>
      <c r="M10" t="s">
        <v>489</v>
      </c>
      <c r="N10" t="s">
        <v>489</v>
      </c>
      <c r="O10" t="s">
        <v>489</v>
      </c>
      <c r="P10" t="s">
        <v>489</v>
      </c>
      <c r="Q10" t="s">
        <v>490</v>
      </c>
      <c r="R10" t="s">
        <v>490</v>
      </c>
      <c r="S10" t="s">
        <v>489</v>
      </c>
      <c r="T10" t="s">
        <v>489</v>
      </c>
      <c r="U10" t="s">
        <v>490</v>
      </c>
      <c r="V10" t="s">
        <v>490</v>
      </c>
      <c r="W10" t="s">
        <v>489</v>
      </c>
      <c r="X10" t="s">
        <v>490</v>
      </c>
      <c r="Y10" t="s">
        <v>490</v>
      </c>
      <c r="Z10" t="s">
        <v>490</v>
      </c>
      <c r="AA10" t="s">
        <v>489</v>
      </c>
      <c r="AB10" t="s">
        <v>490</v>
      </c>
      <c r="AC10" t="s">
        <v>490</v>
      </c>
      <c r="AD10" t="s">
        <v>490</v>
      </c>
      <c r="AE10" t="s">
        <v>489</v>
      </c>
      <c r="AF10" t="s">
        <v>489</v>
      </c>
      <c r="AG10" t="s">
        <v>490</v>
      </c>
      <c r="AH10" t="s">
        <v>490</v>
      </c>
      <c r="AI10" t="s">
        <v>489</v>
      </c>
      <c r="AJ10" t="s">
        <v>490</v>
      </c>
      <c r="AK10" t="s">
        <v>490</v>
      </c>
      <c r="AL10" t="s">
        <v>489</v>
      </c>
      <c r="AM10" t="s">
        <v>490</v>
      </c>
      <c r="AN10" t="s">
        <v>490</v>
      </c>
      <c r="AO10" t="s">
        <v>489</v>
      </c>
      <c r="AP10" t="s">
        <v>490</v>
      </c>
      <c r="AQ10" t="s">
        <v>490</v>
      </c>
      <c r="AR10" t="s">
        <v>490</v>
      </c>
      <c r="AS10" t="s">
        <v>490</v>
      </c>
      <c r="AT10" t="s">
        <v>489</v>
      </c>
      <c r="AU10" t="s">
        <v>489</v>
      </c>
      <c r="AV10" t="s">
        <v>489</v>
      </c>
      <c r="AW10" t="s">
        <v>490</v>
      </c>
      <c r="AX10" t="s">
        <v>489</v>
      </c>
      <c r="AY10" t="s">
        <v>489</v>
      </c>
      <c r="AZ10" t="s">
        <v>490</v>
      </c>
      <c r="BA10" t="s">
        <v>489</v>
      </c>
      <c r="BB10" t="s">
        <v>489</v>
      </c>
      <c r="BC10" t="s">
        <v>490</v>
      </c>
      <c r="BD10" t="s">
        <v>489</v>
      </c>
      <c r="BE10" t="s">
        <v>489</v>
      </c>
      <c r="BF10" t="s">
        <v>490</v>
      </c>
      <c r="BG10" t="s">
        <v>489</v>
      </c>
      <c r="BH10" t="s">
        <v>489</v>
      </c>
      <c r="BI10" t="s">
        <v>490</v>
      </c>
      <c r="BJ10" t="s">
        <v>489</v>
      </c>
      <c r="BK10" t="s">
        <v>489</v>
      </c>
      <c r="BL10" t="s">
        <v>490</v>
      </c>
      <c r="BM10" t="s">
        <v>490</v>
      </c>
      <c r="BN10" t="s">
        <v>490</v>
      </c>
      <c r="BO10" t="s">
        <v>489</v>
      </c>
      <c r="BP10" t="s">
        <v>490</v>
      </c>
      <c r="BQ10" t="s">
        <v>490</v>
      </c>
      <c r="BR10" t="s">
        <v>489</v>
      </c>
      <c r="BS10" t="s">
        <v>490</v>
      </c>
      <c r="BT10" t="s">
        <v>490</v>
      </c>
      <c r="BU10" t="s">
        <v>489</v>
      </c>
      <c r="BV10" t="s">
        <v>489</v>
      </c>
      <c r="BW10" t="s">
        <v>489</v>
      </c>
      <c r="BX10" t="s">
        <v>490</v>
      </c>
      <c r="BY10" t="s">
        <v>489</v>
      </c>
      <c r="BZ10" t="s">
        <v>489</v>
      </c>
      <c r="CA10" t="s">
        <v>490</v>
      </c>
      <c r="CB10" t="s">
        <v>489</v>
      </c>
      <c r="CC10" t="s">
        <v>489</v>
      </c>
      <c r="CD10" t="s">
        <v>490</v>
      </c>
      <c r="CE10" t="s">
        <v>489</v>
      </c>
      <c r="CF10" t="s">
        <v>489</v>
      </c>
      <c r="CG10" t="s">
        <v>490</v>
      </c>
      <c r="CH10" t="s">
        <v>489</v>
      </c>
      <c r="CI10" t="s">
        <v>489</v>
      </c>
      <c r="CJ10" t="s">
        <v>490</v>
      </c>
      <c r="CK10" t="s">
        <v>490</v>
      </c>
      <c r="CL10" t="s">
        <v>490</v>
      </c>
      <c r="CM10" t="s">
        <v>489</v>
      </c>
      <c r="CN10" t="s">
        <v>489</v>
      </c>
      <c r="CO10" t="s">
        <v>489</v>
      </c>
      <c r="CP10" t="s">
        <v>490</v>
      </c>
      <c r="CQ10" t="s">
        <v>489</v>
      </c>
      <c r="CR10" t="s">
        <v>490</v>
      </c>
      <c r="CS10" t="s">
        <v>490</v>
      </c>
      <c r="CT10" t="s">
        <v>489</v>
      </c>
      <c r="CU10" t="s">
        <v>490</v>
      </c>
      <c r="CV10" t="s">
        <v>490</v>
      </c>
      <c r="EA10" t="s">
        <v>490</v>
      </c>
      <c r="EB10" t="s">
        <v>489</v>
      </c>
      <c r="EC10" t="s">
        <v>490</v>
      </c>
      <c r="ED10" t="s">
        <v>490</v>
      </c>
      <c r="EE10" t="s">
        <v>489</v>
      </c>
      <c r="EF10" t="s">
        <v>490</v>
      </c>
      <c r="EG10" t="s">
        <v>490</v>
      </c>
      <c r="EH10" t="s">
        <v>490</v>
      </c>
      <c r="EI10" t="s">
        <v>489</v>
      </c>
      <c r="EJ10" t="s">
        <v>490</v>
      </c>
      <c r="EK10" t="s">
        <v>489</v>
      </c>
      <c r="EL10" t="s">
        <v>490</v>
      </c>
      <c r="EM10" t="s">
        <v>490</v>
      </c>
      <c r="EN10" t="s">
        <v>490</v>
      </c>
      <c r="EO10" t="s">
        <v>489</v>
      </c>
      <c r="EP10" t="s">
        <v>490</v>
      </c>
      <c r="EQ10" t="s">
        <v>489</v>
      </c>
      <c r="ER10" t="s">
        <v>490</v>
      </c>
      <c r="ES10" t="s">
        <v>490</v>
      </c>
      <c r="ET10" t="s">
        <v>489</v>
      </c>
      <c r="EU10" t="s">
        <v>490</v>
      </c>
      <c r="EV10" t="s">
        <v>490</v>
      </c>
      <c r="EW10" t="s">
        <v>489</v>
      </c>
      <c r="EX10" t="s">
        <v>490</v>
      </c>
      <c r="EY10">
        <v>70</v>
      </c>
      <c r="EZ10">
        <v>60</v>
      </c>
      <c r="FA10">
        <v>30</v>
      </c>
      <c r="FB10" t="s">
        <v>543</v>
      </c>
      <c r="OH10" s="15">
        <v>8</v>
      </c>
      <c r="OI10" s="15">
        <v>5</v>
      </c>
      <c r="OJ10" s="15">
        <v>5</v>
      </c>
      <c r="OK10" s="15">
        <v>5</v>
      </c>
      <c r="OL10" s="15">
        <v>8</v>
      </c>
      <c r="OM10" s="15">
        <v>8</v>
      </c>
      <c r="ON10" s="15">
        <v>3</v>
      </c>
      <c r="OO10" s="15">
        <v>5</v>
      </c>
      <c r="OQ10" t="s">
        <v>487</v>
      </c>
      <c r="OR10" t="s">
        <v>519</v>
      </c>
      <c r="OY10">
        <v>60</v>
      </c>
      <c r="OZ10">
        <v>10</v>
      </c>
      <c r="PA10">
        <v>0</v>
      </c>
      <c r="PB10">
        <v>1</v>
      </c>
      <c r="PC10">
        <v>0</v>
      </c>
      <c r="PD10">
        <v>1</v>
      </c>
      <c r="PE10">
        <v>1</v>
      </c>
      <c r="PF10">
        <v>0</v>
      </c>
      <c r="PG10">
        <v>0</v>
      </c>
      <c r="PH10">
        <v>0</v>
      </c>
      <c r="PI10">
        <v>80</v>
      </c>
      <c r="PJ10">
        <v>50</v>
      </c>
      <c r="PK10">
        <v>0</v>
      </c>
      <c r="PL10">
        <v>5</v>
      </c>
      <c r="PM10">
        <v>0</v>
      </c>
      <c r="PN10">
        <v>5</v>
      </c>
      <c r="PO10">
        <v>5</v>
      </c>
      <c r="PP10">
        <v>0</v>
      </c>
      <c r="PQ10">
        <v>0</v>
      </c>
      <c r="PR10">
        <v>0</v>
      </c>
      <c r="PT10" t="s">
        <v>487</v>
      </c>
      <c r="PU10" t="s">
        <v>497</v>
      </c>
      <c r="PV10">
        <v>200000</v>
      </c>
      <c r="PW10">
        <v>1000000</v>
      </c>
      <c r="PX10">
        <v>1200000</v>
      </c>
      <c r="PY10" t="s">
        <v>493</v>
      </c>
      <c r="PZ10" t="s">
        <v>493</v>
      </c>
      <c r="QA10">
        <v>65</v>
      </c>
      <c r="QB10">
        <v>35</v>
      </c>
      <c r="QC10">
        <v>40</v>
      </c>
      <c r="QD10">
        <v>60</v>
      </c>
      <c r="QE10" t="s">
        <v>508</v>
      </c>
      <c r="QZ10">
        <v>15</v>
      </c>
      <c r="RA10">
        <v>3</v>
      </c>
      <c r="RB10" t="s">
        <v>489</v>
      </c>
      <c r="RC10" t="s">
        <v>489</v>
      </c>
      <c r="RD10" t="s">
        <v>490</v>
      </c>
      <c r="RE10" t="s">
        <v>490</v>
      </c>
      <c r="RF10" t="s">
        <v>490</v>
      </c>
      <c r="RG10" t="s">
        <v>490</v>
      </c>
      <c r="RH10" t="s">
        <v>490</v>
      </c>
      <c r="RI10" t="s">
        <v>490</v>
      </c>
    </row>
    <row r="11" spans="1:486">
      <c r="A11">
        <v>12040</v>
      </c>
      <c r="B11" t="s">
        <v>498</v>
      </c>
      <c r="C11" t="s">
        <v>954</v>
      </c>
      <c r="D11" t="s">
        <v>570</v>
      </c>
      <c r="E11" t="s">
        <v>500</v>
      </c>
      <c r="F11" t="s">
        <v>505</v>
      </c>
      <c r="G11">
        <v>3.4</v>
      </c>
      <c r="H11" t="s">
        <v>487</v>
      </c>
      <c r="I11" t="s">
        <v>487</v>
      </c>
      <c r="J11" t="s">
        <v>487</v>
      </c>
      <c r="K11" t="s">
        <v>487</v>
      </c>
      <c r="L11" t="s">
        <v>489</v>
      </c>
      <c r="M11" t="s">
        <v>489</v>
      </c>
      <c r="N11" t="s">
        <v>489</v>
      </c>
      <c r="O11" t="s">
        <v>490</v>
      </c>
      <c r="P11" t="s">
        <v>490</v>
      </c>
      <c r="Q11" t="s">
        <v>490</v>
      </c>
      <c r="R11" t="s">
        <v>489</v>
      </c>
      <c r="S11" t="s">
        <v>489</v>
      </c>
      <c r="T11" t="s">
        <v>489</v>
      </c>
      <c r="U11" t="s">
        <v>489</v>
      </c>
      <c r="V11" t="s">
        <v>490</v>
      </c>
      <c r="W11" t="s">
        <v>489</v>
      </c>
      <c r="X11" t="s">
        <v>489</v>
      </c>
      <c r="Y11" t="s">
        <v>490</v>
      </c>
      <c r="Z11" t="s">
        <v>490</v>
      </c>
      <c r="AA11" t="s">
        <v>490</v>
      </c>
      <c r="AB11" t="s">
        <v>489</v>
      </c>
      <c r="AC11" t="s">
        <v>490</v>
      </c>
      <c r="AD11" t="s">
        <v>490</v>
      </c>
      <c r="AE11" t="s">
        <v>489</v>
      </c>
      <c r="AF11" t="s">
        <v>489</v>
      </c>
      <c r="AG11" t="s">
        <v>490</v>
      </c>
      <c r="AH11" t="s">
        <v>490</v>
      </c>
      <c r="AI11" t="s">
        <v>489</v>
      </c>
      <c r="AJ11" t="s">
        <v>490</v>
      </c>
      <c r="AK11" t="s">
        <v>490</v>
      </c>
      <c r="AL11" t="s">
        <v>490</v>
      </c>
      <c r="AM11" t="s">
        <v>490</v>
      </c>
      <c r="AN11" t="s">
        <v>489</v>
      </c>
      <c r="AO11" t="s">
        <v>489</v>
      </c>
      <c r="AP11" t="s">
        <v>490</v>
      </c>
      <c r="AQ11" t="s">
        <v>490</v>
      </c>
      <c r="AR11" t="s">
        <v>489</v>
      </c>
      <c r="AS11" t="s">
        <v>489</v>
      </c>
      <c r="AT11" t="s">
        <v>490</v>
      </c>
      <c r="AU11" t="s">
        <v>490</v>
      </c>
      <c r="AV11" t="s">
        <v>490</v>
      </c>
      <c r="AW11" t="s">
        <v>489</v>
      </c>
      <c r="AX11" t="s">
        <v>490</v>
      </c>
      <c r="AY11" t="s">
        <v>490</v>
      </c>
      <c r="AZ11" t="s">
        <v>489</v>
      </c>
      <c r="BA11" t="s">
        <v>490</v>
      </c>
      <c r="BB11" t="s">
        <v>490</v>
      </c>
      <c r="BC11" t="s">
        <v>489</v>
      </c>
      <c r="BD11" t="s">
        <v>490</v>
      </c>
      <c r="BE11" t="s">
        <v>490</v>
      </c>
      <c r="BF11" t="s">
        <v>489</v>
      </c>
      <c r="BG11" t="s">
        <v>489</v>
      </c>
      <c r="BH11" t="s">
        <v>490</v>
      </c>
      <c r="BI11" t="s">
        <v>490</v>
      </c>
      <c r="BJ11" t="s">
        <v>489</v>
      </c>
      <c r="BK11" t="s">
        <v>489</v>
      </c>
      <c r="BL11" t="s">
        <v>490</v>
      </c>
      <c r="BM11" t="s">
        <v>489</v>
      </c>
      <c r="BN11" t="s">
        <v>490</v>
      </c>
      <c r="BO11" t="s">
        <v>490</v>
      </c>
      <c r="BP11" t="s">
        <v>489</v>
      </c>
      <c r="BQ11" t="s">
        <v>489</v>
      </c>
      <c r="BR11" t="s">
        <v>490</v>
      </c>
      <c r="BS11" t="s">
        <v>490</v>
      </c>
      <c r="BT11" t="s">
        <v>490</v>
      </c>
      <c r="BU11" t="s">
        <v>489</v>
      </c>
      <c r="BV11" t="s">
        <v>490</v>
      </c>
      <c r="BW11" t="s">
        <v>490</v>
      </c>
      <c r="BX11" t="s">
        <v>489</v>
      </c>
      <c r="BY11" t="s">
        <v>489</v>
      </c>
      <c r="BZ11" t="s">
        <v>489</v>
      </c>
      <c r="CA11" t="s">
        <v>490</v>
      </c>
      <c r="DI11" t="s">
        <v>489</v>
      </c>
      <c r="DJ11" t="s">
        <v>489</v>
      </c>
      <c r="DK11" t="s">
        <v>490</v>
      </c>
      <c r="DL11" t="s">
        <v>489</v>
      </c>
      <c r="DM11" t="s">
        <v>489</v>
      </c>
      <c r="DN11" t="s">
        <v>490</v>
      </c>
      <c r="DO11" t="s">
        <v>490</v>
      </c>
      <c r="DP11" t="s">
        <v>490</v>
      </c>
      <c r="DQ11" t="s">
        <v>489</v>
      </c>
      <c r="DR11" t="s">
        <v>489</v>
      </c>
      <c r="DS11" t="s">
        <v>490</v>
      </c>
      <c r="DT11" t="s">
        <v>490</v>
      </c>
      <c r="DU11" t="s">
        <v>489</v>
      </c>
      <c r="DV11" t="s">
        <v>490</v>
      </c>
      <c r="DW11" t="s">
        <v>490</v>
      </c>
      <c r="DX11" t="s">
        <v>489</v>
      </c>
      <c r="DY11" t="s">
        <v>490</v>
      </c>
      <c r="DZ11" t="s">
        <v>490</v>
      </c>
      <c r="EA11" t="s">
        <v>490</v>
      </c>
      <c r="EB11" t="s">
        <v>489</v>
      </c>
      <c r="EC11" t="s">
        <v>490</v>
      </c>
      <c r="ED11" t="s">
        <v>490</v>
      </c>
      <c r="EE11" t="s">
        <v>490</v>
      </c>
      <c r="EF11" t="s">
        <v>489</v>
      </c>
      <c r="EG11" t="s">
        <v>490</v>
      </c>
      <c r="EH11" t="s">
        <v>490</v>
      </c>
      <c r="EI11" t="s">
        <v>489</v>
      </c>
      <c r="EJ11" t="s">
        <v>490</v>
      </c>
      <c r="EK11" t="s">
        <v>490</v>
      </c>
      <c r="EL11" t="s">
        <v>489</v>
      </c>
      <c r="EM11" t="s">
        <v>490</v>
      </c>
      <c r="EN11" t="s">
        <v>490</v>
      </c>
      <c r="EO11" t="s">
        <v>489</v>
      </c>
      <c r="EP11" t="s">
        <v>490</v>
      </c>
      <c r="EQ11" t="s">
        <v>490</v>
      </c>
      <c r="ER11" t="s">
        <v>489</v>
      </c>
      <c r="ES11" t="s">
        <v>490</v>
      </c>
      <c r="ET11" t="s">
        <v>489</v>
      </c>
      <c r="EU11" t="s">
        <v>490</v>
      </c>
      <c r="EV11" t="s">
        <v>490</v>
      </c>
      <c r="EW11" t="s">
        <v>490</v>
      </c>
      <c r="EX11" t="s">
        <v>489</v>
      </c>
      <c r="EY11">
        <v>80</v>
      </c>
      <c r="EZ11">
        <v>5</v>
      </c>
      <c r="FA11">
        <v>95</v>
      </c>
      <c r="FB11" t="s">
        <v>491</v>
      </c>
      <c r="OH11" s="15">
        <v>8</v>
      </c>
      <c r="OI11" s="15">
        <v>6</v>
      </c>
      <c r="OJ11" s="15">
        <v>7</v>
      </c>
      <c r="OK11" s="15">
        <v>6</v>
      </c>
      <c r="OL11" s="15">
        <v>8</v>
      </c>
      <c r="OM11" s="15">
        <v>9</v>
      </c>
      <c r="ON11" s="15">
        <v>6</v>
      </c>
      <c r="OO11" s="15">
        <v>1</v>
      </c>
      <c r="OQ11" t="s">
        <v>488</v>
      </c>
      <c r="OR11" t="s">
        <v>488</v>
      </c>
      <c r="PT11" t="s">
        <v>488</v>
      </c>
      <c r="PU11" t="s">
        <v>497</v>
      </c>
      <c r="PV11">
        <v>0</v>
      </c>
      <c r="PW11">
        <v>0</v>
      </c>
      <c r="PX11">
        <v>0</v>
      </c>
      <c r="PY11" t="s">
        <v>493</v>
      </c>
      <c r="PZ11" t="s">
        <v>493</v>
      </c>
      <c r="QA11">
        <v>100</v>
      </c>
      <c r="QB11">
        <v>0</v>
      </c>
      <c r="QC11">
        <v>100</v>
      </c>
      <c r="QD11">
        <v>0</v>
      </c>
      <c r="QE11" t="s">
        <v>508</v>
      </c>
      <c r="QZ11">
        <v>0</v>
      </c>
      <c r="RA11">
        <v>0</v>
      </c>
      <c r="RB11" t="s">
        <v>489</v>
      </c>
      <c r="RC11" t="s">
        <v>490</v>
      </c>
      <c r="RD11" t="s">
        <v>490</v>
      </c>
      <c r="RE11" t="s">
        <v>489</v>
      </c>
      <c r="RF11" t="s">
        <v>490</v>
      </c>
      <c r="RG11" t="s">
        <v>490</v>
      </c>
      <c r="RH11" t="s">
        <v>490</v>
      </c>
      <c r="RI11" t="s">
        <v>490</v>
      </c>
      <c r="RJ11" t="s">
        <v>623</v>
      </c>
      <c r="RQ11" t="s">
        <v>624</v>
      </c>
    </row>
    <row r="12" spans="1:486">
      <c r="A12">
        <v>12056</v>
      </c>
      <c r="B12" t="s">
        <v>503</v>
      </c>
      <c r="C12" t="s">
        <v>972</v>
      </c>
      <c r="D12" t="s">
        <v>518</v>
      </c>
      <c r="E12" t="s">
        <v>500</v>
      </c>
      <c r="F12" t="s">
        <v>505</v>
      </c>
      <c r="G12">
        <v>4</v>
      </c>
      <c r="H12" t="s">
        <v>487</v>
      </c>
      <c r="I12" t="s">
        <v>487</v>
      </c>
      <c r="J12" t="s">
        <v>488</v>
      </c>
      <c r="K12" t="s">
        <v>487</v>
      </c>
      <c r="L12" t="s">
        <v>489</v>
      </c>
      <c r="M12" t="s">
        <v>489</v>
      </c>
      <c r="N12" t="s">
        <v>489</v>
      </c>
      <c r="O12" t="s">
        <v>489</v>
      </c>
      <c r="P12" t="s">
        <v>489</v>
      </c>
      <c r="Q12" t="s">
        <v>489</v>
      </c>
      <c r="R12" t="s">
        <v>489</v>
      </c>
      <c r="S12" t="s">
        <v>489</v>
      </c>
      <c r="T12" t="s">
        <v>489</v>
      </c>
      <c r="U12" t="s">
        <v>490</v>
      </c>
      <c r="V12" t="s">
        <v>490</v>
      </c>
      <c r="W12" t="s">
        <v>489</v>
      </c>
      <c r="X12" t="s">
        <v>490</v>
      </c>
      <c r="Y12" t="s">
        <v>490</v>
      </c>
      <c r="Z12" t="s">
        <v>490</v>
      </c>
      <c r="AA12" t="s">
        <v>490</v>
      </c>
      <c r="AB12" t="s">
        <v>489</v>
      </c>
      <c r="AC12" t="s">
        <v>489</v>
      </c>
      <c r="AD12" t="s">
        <v>490</v>
      </c>
      <c r="AE12" t="s">
        <v>490</v>
      </c>
      <c r="AF12" t="s">
        <v>489</v>
      </c>
      <c r="AG12" t="s">
        <v>490</v>
      </c>
      <c r="AH12" t="s">
        <v>490</v>
      </c>
      <c r="AI12" t="s">
        <v>489</v>
      </c>
      <c r="AJ12" t="s">
        <v>489</v>
      </c>
      <c r="AK12" t="s">
        <v>490</v>
      </c>
      <c r="AL12" t="s">
        <v>490</v>
      </c>
      <c r="AM12" t="s">
        <v>490</v>
      </c>
      <c r="AN12" t="s">
        <v>489</v>
      </c>
      <c r="AO12" t="s">
        <v>489</v>
      </c>
      <c r="AP12" t="s">
        <v>490</v>
      </c>
      <c r="AQ12" t="s">
        <v>490</v>
      </c>
      <c r="AR12" t="s">
        <v>490</v>
      </c>
      <c r="AS12" t="s">
        <v>490</v>
      </c>
      <c r="AT12" t="s">
        <v>489</v>
      </c>
      <c r="AU12" t="s">
        <v>489</v>
      </c>
      <c r="AV12" t="s">
        <v>489</v>
      </c>
      <c r="AW12" t="s">
        <v>490</v>
      </c>
      <c r="AX12" t="s">
        <v>489</v>
      </c>
      <c r="AY12" t="s">
        <v>490</v>
      </c>
      <c r="AZ12" t="s">
        <v>490</v>
      </c>
      <c r="BA12" t="s">
        <v>489</v>
      </c>
      <c r="BB12" t="s">
        <v>489</v>
      </c>
      <c r="BC12" t="s">
        <v>490</v>
      </c>
      <c r="BD12" t="s">
        <v>489</v>
      </c>
      <c r="BE12" t="s">
        <v>489</v>
      </c>
      <c r="BF12" t="s">
        <v>490</v>
      </c>
      <c r="BG12" t="s">
        <v>489</v>
      </c>
      <c r="BH12" t="s">
        <v>490</v>
      </c>
      <c r="BI12" t="s">
        <v>490</v>
      </c>
      <c r="BJ12" t="s">
        <v>489</v>
      </c>
      <c r="BK12" t="s">
        <v>489</v>
      </c>
      <c r="BL12" t="s">
        <v>490</v>
      </c>
      <c r="BM12" t="s">
        <v>490</v>
      </c>
      <c r="BN12" t="s">
        <v>490</v>
      </c>
      <c r="BO12" t="s">
        <v>489</v>
      </c>
      <c r="BP12" t="s">
        <v>490</v>
      </c>
      <c r="BQ12" t="s">
        <v>490</v>
      </c>
      <c r="BR12" t="s">
        <v>489</v>
      </c>
      <c r="BS12" t="s">
        <v>489</v>
      </c>
      <c r="BT12" t="s">
        <v>490</v>
      </c>
      <c r="BU12" t="s">
        <v>490</v>
      </c>
      <c r="BV12" t="s">
        <v>490</v>
      </c>
      <c r="BW12" t="s">
        <v>490</v>
      </c>
      <c r="BX12" t="s">
        <v>489</v>
      </c>
      <c r="BY12" t="s">
        <v>489</v>
      </c>
      <c r="BZ12" t="s">
        <v>489</v>
      </c>
      <c r="CA12" t="s">
        <v>490</v>
      </c>
      <c r="CB12" t="s">
        <v>489</v>
      </c>
      <c r="CC12" t="s">
        <v>490</v>
      </c>
      <c r="CD12" t="s">
        <v>490</v>
      </c>
      <c r="CE12" t="s">
        <v>489</v>
      </c>
      <c r="CF12" t="s">
        <v>490</v>
      </c>
      <c r="CG12" t="s">
        <v>490</v>
      </c>
      <c r="CH12" t="s">
        <v>489</v>
      </c>
      <c r="CI12" t="s">
        <v>490</v>
      </c>
      <c r="CJ12" t="s">
        <v>490</v>
      </c>
      <c r="CK12" t="s">
        <v>489</v>
      </c>
      <c r="CL12" t="s">
        <v>490</v>
      </c>
      <c r="CM12" t="s">
        <v>490</v>
      </c>
      <c r="CN12" t="s">
        <v>489</v>
      </c>
      <c r="CO12" t="s">
        <v>490</v>
      </c>
      <c r="CP12" t="s">
        <v>490</v>
      </c>
      <c r="CQ12" t="s">
        <v>489</v>
      </c>
      <c r="CR12" t="s">
        <v>490</v>
      </c>
      <c r="CS12" t="s">
        <v>490</v>
      </c>
      <c r="CT12" t="s">
        <v>489</v>
      </c>
      <c r="CU12" t="s">
        <v>490</v>
      </c>
      <c r="CV12" t="s">
        <v>490</v>
      </c>
      <c r="CW12" t="s">
        <v>490</v>
      </c>
      <c r="CX12" t="s">
        <v>490</v>
      </c>
      <c r="CY12" t="s">
        <v>489</v>
      </c>
      <c r="CZ12" t="s">
        <v>489</v>
      </c>
      <c r="DA12" t="s">
        <v>489</v>
      </c>
      <c r="DB12" t="s">
        <v>490</v>
      </c>
      <c r="DC12" t="s">
        <v>489</v>
      </c>
      <c r="DD12" t="s">
        <v>489</v>
      </c>
      <c r="DE12" t="s">
        <v>490</v>
      </c>
      <c r="DF12" t="s">
        <v>489</v>
      </c>
      <c r="DG12" t="s">
        <v>489</v>
      </c>
      <c r="DH12" t="s">
        <v>490</v>
      </c>
      <c r="DI12" t="s">
        <v>490</v>
      </c>
      <c r="DJ12" t="s">
        <v>490</v>
      </c>
      <c r="DK12" t="s">
        <v>489</v>
      </c>
      <c r="DL12" t="s">
        <v>489</v>
      </c>
      <c r="DM12" t="s">
        <v>489</v>
      </c>
      <c r="DN12" t="s">
        <v>490</v>
      </c>
      <c r="DO12" t="s">
        <v>490</v>
      </c>
      <c r="DP12" t="s">
        <v>490</v>
      </c>
      <c r="DQ12" t="s">
        <v>489</v>
      </c>
      <c r="DR12" t="s">
        <v>489</v>
      </c>
      <c r="DS12" t="s">
        <v>490</v>
      </c>
      <c r="DT12" t="s">
        <v>490</v>
      </c>
      <c r="DU12" t="s">
        <v>489</v>
      </c>
      <c r="DV12" t="s">
        <v>490</v>
      </c>
      <c r="DW12" t="s">
        <v>490</v>
      </c>
      <c r="DX12" t="s">
        <v>489</v>
      </c>
      <c r="DY12" t="s">
        <v>489</v>
      </c>
      <c r="DZ12" t="s">
        <v>490</v>
      </c>
      <c r="EA12" t="s">
        <v>490</v>
      </c>
      <c r="EB12" t="s">
        <v>490</v>
      </c>
      <c r="EC12" t="s">
        <v>489</v>
      </c>
      <c r="ED12" t="s">
        <v>490</v>
      </c>
      <c r="EE12" t="s">
        <v>490</v>
      </c>
      <c r="EF12" t="s">
        <v>489</v>
      </c>
      <c r="EG12" t="s">
        <v>490</v>
      </c>
      <c r="EH12" t="s">
        <v>490</v>
      </c>
      <c r="EI12" t="s">
        <v>489</v>
      </c>
      <c r="EJ12" t="s">
        <v>490</v>
      </c>
      <c r="EK12" t="s">
        <v>489</v>
      </c>
      <c r="EL12" t="s">
        <v>490</v>
      </c>
      <c r="EM12" t="s">
        <v>490</v>
      </c>
      <c r="EN12" t="s">
        <v>490</v>
      </c>
      <c r="EO12" t="s">
        <v>489</v>
      </c>
      <c r="EP12" t="s">
        <v>490</v>
      </c>
      <c r="EQ12" t="s">
        <v>489</v>
      </c>
      <c r="ER12" t="s">
        <v>490</v>
      </c>
      <c r="ES12" t="s">
        <v>490</v>
      </c>
      <c r="ET12" t="s">
        <v>489</v>
      </c>
      <c r="EU12" t="s">
        <v>490</v>
      </c>
      <c r="EV12" t="s">
        <v>490</v>
      </c>
      <c r="EW12" t="s">
        <v>489</v>
      </c>
      <c r="EX12" t="s">
        <v>490</v>
      </c>
      <c r="EY12">
        <v>95</v>
      </c>
      <c r="EZ12">
        <v>15</v>
      </c>
      <c r="FA12">
        <v>85</v>
      </c>
      <c r="FB12" t="s">
        <v>491</v>
      </c>
      <c r="FC12">
        <v>15</v>
      </c>
      <c r="FD12">
        <v>15</v>
      </c>
      <c r="FE12">
        <v>2000</v>
      </c>
      <c r="FF12">
        <v>2000</v>
      </c>
      <c r="FI12">
        <v>4000</v>
      </c>
      <c r="FJ12">
        <v>4000</v>
      </c>
      <c r="FK12">
        <v>100</v>
      </c>
      <c r="FL12">
        <v>100</v>
      </c>
      <c r="FM12">
        <v>500</v>
      </c>
      <c r="FN12">
        <v>500</v>
      </c>
      <c r="FQ12">
        <v>3000</v>
      </c>
      <c r="FR12">
        <v>3000</v>
      </c>
      <c r="FU12">
        <v>250</v>
      </c>
      <c r="FV12">
        <v>250</v>
      </c>
      <c r="FZ12">
        <v>0</v>
      </c>
      <c r="GA12">
        <v>0</v>
      </c>
      <c r="GB12">
        <v>0</v>
      </c>
      <c r="GD12">
        <v>100</v>
      </c>
      <c r="GF12">
        <v>0</v>
      </c>
      <c r="GG12">
        <v>0</v>
      </c>
      <c r="GH12">
        <v>0</v>
      </c>
      <c r="GI12">
        <v>100</v>
      </c>
      <c r="GJ12">
        <v>0</v>
      </c>
      <c r="GK12">
        <v>0</v>
      </c>
      <c r="GL12">
        <v>100</v>
      </c>
      <c r="GP12">
        <v>0</v>
      </c>
      <c r="GQ12">
        <v>100</v>
      </c>
      <c r="GR12">
        <v>0</v>
      </c>
      <c r="GS12">
        <v>0</v>
      </c>
      <c r="GT12">
        <v>0</v>
      </c>
      <c r="GU12">
        <v>100</v>
      </c>
      <c r="GV12">
        <v>0</v>
      </c>
      <c r="GW12">
        <v>50</v>
      </c>
      <c r="GX12">
        <v>50</v>
      </c>
      <c r="HB12">
        <v>1</v>
      </c>
      <c r="HC12">
        <v>99</v>
      </c>
      <c r="HD12">
        <v>1</v>
      </c>
      <c r="HH12">
        <v>0</v>
      </c>
      <c r="HI12">
        <v>100</v>
      </c>
      <c r="HJ12">
        <v>0</v>
      </c>
      <c r="HK12">
        <v>150</v>
      </c>
      <c r="HL12">
        <v>10</v>
      </c>
      <c r="HM12">
        <v>400</v>
      </c>
      <c r="HN12">
        <v>35</v>
      </c>
      <c r="HO12">
        <v>4000</v>
      </c>
      <c r="HR12">
        <v>0</v>
      </c>
      <c r="HS12">
        <v>150</v>
      </c>
      <c r="HT12">
        <v>10</v>
      </c>
      <c r="HU12">
        <v>100</v>
      </c>
      <c r="HV12">
        <v>35</v>
      </c>
      <c r="HW12">
        <v>3500</v>
      </c>
      <c r="HZ12">
        <v>0</v>
      </c>
      <c r="IA12">
        <v>0</v>
      </c>
      <c r="IC12">
        <v>0</v>
      </c>
      <c r="ID12">
        <v>0</v>
      </c>
      <c r="IE12">
        <v>7000</v>
      </c>
      <c r="IH12">
        <v>0</v>
      </c>
      <c r="II12">
        <v>0</v>
      </c>
      <c r="IJ12">
        <v>100</v>
      </c>
      <c r="IK12">
        <v>0</v>
      </c>
      <c r="IL12">
        <v>0</v>
      </c>
      <c r="IM12">
        <v>100</v>
      </c>
      <c r="IN12">
        <v>0</v>
      </c>
      <c r="IO12">
        <v>3</v>
      </c>
      <c r="IP12">
        <v>90</v>
      </c>
      <c r="IQ12">
        <v>7</v>
      </c>
      <c r="IR12">
        <v>10</v>
      </c>
      <c r="IS12">
        <v>100</v>
      </c>
      <c r="IT12">
        <v>90</v>
      </c>
      <c r="IU12">
        <v>30</v>
      </c>
      <c r="IV12">
        <v>30</v>
      </c>
      <c r="IW12">
        <v>70</v>
      </c>
      <c r="KE12">
        <v>0</v>
      </c>
      <c r="KF12">
        <v>25</v>
      </c>
      <c r="KG12">
        <v>2200</v>
      </c>
      <c r="KH12">
        <v>4</v>
      </c>
      <c r="KI12">
        <v>0</v>
      </c>
      <c r="KJ12">
        <v>0</v>
      </c>
      <c r="KK12">
        <v>25</v>
      </c>
      <c r="KL12">
        <v>2500</v>
      </c>
      <c r="KM12">
        <v>4</v>
      </c>
      <c r="KN12">
        <v>0</v>
      </c>
      <c r="KR12">
        <v>2</v>
      </c>
      <c r="KS12">
        <v>98</v>
      </c>
      <c r="KT12">
        <v>2</v>
      </c>
      <c r="KU12">
        <v>5</v>
      </c>
      <c r="KV12">
        <v>65</v>
      </c>
      <c r="KW12">
        <v>30</v>
      </c>
      <c r="KX12">
        <v>0</v>
      </c>
      <c r="KY12">
        <v>100</v>
      </c>
      <c r="KZ12">
        <v>0</v>
      </c>
      <c r="LD12">
        <v>200</v>
      </c>
      <c r="LE12">
        <v>150</v>
      </c>
      <c r="LF12">
        <v>250</v>
      </c>
      <c r="LG12">
        <v>150</v>
      </c>
      <c r="LH12">
        <v>10</v>
      </c>
      <c r="LI12">
        <v>80</v>
      </c>
      <c r="LJ12">
        <v>10</v>
      </c>
      <c r="LK12">
        <v>100</v>
      </c>
      <c r="LL12">
        <v>0</v>
      </c>
      <c r="LM12">
        <v>0</v>
      </c>
      <c r="LO12">
        <v>0</v>
      </c>
      <c r="LP12">
        <v>0</v>
      </c>
      <c r="LQ12">
        <v>10</v>
      </c>
      <c r="MA12">
        <v>100</v>
      </c>
      <c r="MB12">
        <v>0</v>
      </c>
      <c r="MC12">
        <v>0</v>
      </c>
      <c r="ME12">
        <v>0</v>
      </c>
      <c r="MF12">
        <v>0</v>
      </c>
      <c r="MG12">
        <v>10</v>
      </c>
      <c r="MI12">
        <v>0</v>
      </c>
      <c r="MK12">
        <v>35</v>
      </c>
      <c r="ML12">
        <v>0</v>
      </c>
      <c r="MM12">
        <v>0</v>
      </c>
      <c r="MO12">
        <v>2</v>
      </c>
      <c r="MQ12">
        <v>10</v>
      </c>
      <c r="MR12">
        <v>0</v>
      </c>
      <c r="MS12">
        <v>0</v>
      </c>
      <c r="MU12">
        <v>0</v>
      </c>
      <c r="MW12">
        <v>0</v>
      </c>
      <c r="MX12">
        <v>0</v>
      </c>
      <c r="MY12">
        <v>0</v>
      </c>
      <c r="NC12">
        <v>0</v>
      </c>
      <c r="NE12">
        <v>1</v>
      </c>
      <c r="NF12">
        <v>5</v>
      </c>
      <c r="NG12">
        <v>1</v>
      </c>
      <c r="NK12">
        <v>0</v>
      </c>
      <c r="NM12">
        <v>1</v>
      </c>
      <c r="NN12">
        <v>1</v>
      </c>
      <c r="NO12">
        <v>5</v>
      </c>
      <c r="NS12">
        <v>0</v>
      </c>
      <c r="NT12">
        <v>100</v>
      </c>
      <c r="NU12">
        <v>0</v>
      </c>
      <c r="NY12">
        <v>50</v>
      </c>
      <c r="NZ12">
        <v>100</v>
      </c>
      <c r="OA12">
        <v>50</v>
      </c>
      <c r="OH12" s="15">
        <v>8</v>
      </c>
      <c r="OI12" s="15">
        <v>1</v>
      </c>
      <c r="OJ12" s="15">
        <v>8</v>
      </c>
      <c r="OK12" s="15">
        <v>1</v>
      </c>
      <c r="OL12" s="15">
        <v>7</v>
      </c>
      <c r="OM12" s="15">
        <v>9</v>
      </c>
      <c r="ON12" s="15">
        <v>1</v>
      </c>
      <c r="OO12" s="15">
        <v>1</v>
      </c>
      <c r="OQ12" t="s">
        <v>488</v>
      </c>
      <c r="OR12" t="s">
        <v>487</v>
      </c>
      <c r="OS12" t="s">
        <v>489</v>
      </c>
      <c r="OT12" t="s">
        <v>490</v>
      </c>
      <c r="OU12" t="s">
        <v>489</v>
      </c>
      <c r="OV12" t="s">
        <v>490</v>
      </c>
      <c r="OW12" t="s">
        <v>490</v>
      </c>
      <c r="OY12">
        <v>65</v>
      </c>
      <c r="OZ12">
        <v>65</v>
      </c>
      <c r="PA12">
        <v>0</v>
      </c>
      <c r="PB12">
        <v>0</v>
      </c>
      <c r="PC12">
        <v>0</v>
      </c>
      <c r="PD12">
        <v>0</v>
      </c>
      <c r="PE12">
        <v>0</v>
      </c>
      <c r="PF12">
        <v>0</v>
      </c>
      <c r="PG12">
        <v>0</v>
      </c>
      <c r="PH12">
        <v>0</v>
      </c>
      <c r="PI12">
        <v>75</v>
      </c>
      <c r="PJ12">
        <v>75</v>
      </c>
      <c r="PK12">
        <v>0</v>
      </c>
      <c r="PL12">
        <v>0</v>
      </c>
      <c r="PM12">
        <v>0</v>
      </c>
      <c r="PN12">
        <v>0</v>
      </c>
      <c r="PO12">
        <v>0</v>
      </c>
      <c r="PP12">
        <v>0</v>
      </c>
      <c r="PQ12">
        <v>0</v>
      </c>
      <c r="PR12">
        <v>0</v>
      </c>
      <c r="PT12" t="s">
        <v>488</v>
      </c>
      <c r="PU12" t="s">
        <v>497</v>
      </c>
      <c r="PV12">
        <v>5000</v>
      </c>
      <c r="PW12">
        <v>0</v>
      </c>
      <c r="PX12">
        <v>5000</v>
      </c>
      <c r="PY12" t="s">
        <v>493</v>
      </c>
      <c r="PZ12" t="s">
        <v>493</v>
      </c>
      <c r="QA12">
        <v>10</v>
      </c>
      <c r="QB12">
        <v>90</v>
      </c>
      <c r="QC12">
        <v>90</v>
      </c>
      <c r="QD12">
        <v>10</v>
      </c>
      <c r="QE12" t="s">
        <v>508</v>
      </c>
      <c r="QZ12">
        <v>0.4</v>
      </c>
      <c r="RA12">
        <v>0</v>
      </c>
      <c r="RB12" t="s">
        <v>489</v>
      </c>
      <c r="RC12" t="s">
        <v>490</v>
      </c>
      <c r="RD12" t="s">
        <v>490</v>
      </c>
      <c r="RE12" t="s">
        <v>490</v>
      </c>
      <c r="RF12" t="s">
        <v>490</v>
      </c>
      <c r="RG12" t="s">
        <v>490</v>
      </c>
      <c r="RH12" t="s">
        <v>490</v>
      </c>
      <c r="RI12" t="s">
        <v>490</v>
      </c>
    </row>
    <row r="13" spans="1:486">
      <c r="A13">
        <v>12045</v>
      </c>
      <c r="B13" t="s">
        <v>503</v>
      </c>
      <c r="C13" t="s">
        <v>972</v>
      </c>
      <c r="D13" t="s">
        <v>518</v>
      </c>
      <c r="E13" t="s">
        <v>500</v>
      </c>
      <c r="F13" t="s">
        <v>486</v>
      </c>
      <c r="G13">
        <v>80</v>
      </c>
      <c r="H13" t="s">
        <v>487</v>
      </c>
      <c r="I13" t="s">
        <v>487</v>
      </c>
      <c r="J13" t="s">
        <v>487</v>
      </c>
      <c r="K13" t="s">
        <v>487</v>
      </c>
      <c r="L13" t="s">
        <v>489</v>
      </c>
      <c r="M13" t="s">
        <v>489</v>
      </c>
      <c r="N13" t="s">
        <v>490</v>
      </c>
      <c r="O13" t="s">
        <v>489</v>
      </c>
      <c r="P13" t="s">
        <v>490</v>
      </c>
      <c r="Q13" t="s">
        <v>490</v>
      </c>
      <c r="R13" t="s">
        <v>489</v>
      </c>
      <c r="S13" t="s">
        <v>489</v>
      </c>
      <c r="T13" t="s">
        <v>489</v>
      </c>
      <c r="U13" t="s">
        <v>490</v>
      </c>
      <c r="V13" t="s">
        <v>490</v>
      </c>
      <c r="W13" t="s">
        <v>489</v>
      </c>
      <c r="X13" t="s">
        <v>490</v>
      </c>
      <c r="Y13" t="s">
        <v>490</v>
      </c>
      <c r="Z13" t="s">
        <v>490</v>
      </c>
      <c r="AA13" t="s">
        <v>490</v>
      </c>
      <c r="AB13" t="s">
        <v>489</v>
      </c>
      <c r="AC13" t="s">
        <v>490</v>
      </c>
      <c r="AD13" t="s">
        <v>490</v>
      </c>
      <c r="AE13" t="s">
        <v>489</v>
      </c>
      <c r="AF13" t="s">
        <v>490</v>
      </c>
      <c r="AG13" t="s">
        <v>490</v>
      </c>
      <c r="AH13" t="s">
        <v>489</v>
      </c>
      <c r="AI13" t="s">
        <v>490</v>
      </c>
      <c r="AJ13" t="s">
        <v>490</v>
      </c>
      <c r="AK13" t="s">
        <v>489</v>
      </c>
      <c r="AL13" t="s">
        <v>490</v>
      </c>
      <c r="AM13" t="s">
        <v>490</v>
      </c>
      <c r="AN13" t="s">
        <v>489</v>
      </c>
      <c r="AO13" t="s">
        <v>490</v>
      </c>
      <c r="AP13" t="s">
        <v>490</v>
      </c>
      <c r="AQ13" t="s">
        <v>489</v>
      </c>
      <c r="AR13" t="s">
        <v>490</v>
      </c>
      <c r="AS13" t="s">
        <v>490</v>
      </c>
      <c r="AT13" t="s">
        <v>489</v>
      </c>
      <c r="AU13" t="s">
        <v>490</v>
      </c>
      <c r="AV13" t="s">
        <v>490</v>
      </c>
      <c r="AW13" t="s">
        <v>489</v>
      </c>
      <c r="AX13" t="s">
        <v>489</v>
      </c>
      <c r="AY13" t="s">
        <v>489</v>
      </c>
      <c r="AZ13" t="s">
        <v>490</v>
      </c>
      <c r="BA13" t="s">
        <v>489</v>
      </c>
      <c r="BB13" t="s">
        <v>489</v>
      </c>
      <c r="BC13" t="s">
        <v>490</v>
      </c>
      <c r="BD13" t="s">
        <v>490</v>
      </c>
      <c r="BE13" t="s">
        <v>490</v>
      </c>
      <c r="BF13" t="s">
        <v>489</v>
      </c>
      <c r="BG13" t="s">
        <v>489</v>
      </c>
      <c r="BH13" t="s">
        <v>489</v>
      </c>
      <c r="BI13" t="s">
        <v>490</v>
      </c>
      <c r="BJ13" t="s">
        <v>489</v>
      </c>
      <c r="BK13" t="s">
        <v>489</v>
      </c>
      <c r="BL13" t="s">
        <v>490</v>
      </c>
      <c r="BM13" t="s">
        <v>489</v>
      </c>
      <c r="BN13" t="s">
        <v>489</v>
      </c>
      <c r="BO13" t="s">
        <v>490</v>
      </c>
      <c r="BP13" t="s">
        <v>490</v>
      </c>
      <c r="BQ13" t="s">
        <v>490</v>
      </c>
      <c r="BR13" t="s">
        <v>489</v>
      </c>
      <c r="BS13" t="s">
        <v>490</v>
      </c>
      <c r="BT13" t="s">
        <v>490</v>
      </c>
      <c r="BU13" t="s">
        <v>489</v>
      </c>
      <c r="CB13" t="s">
        <v>489</v>
      </c>
      <c r="CC13" t="s">
        <v>489</v>
      </c>
      <c r="CD13" t="s">
        <v>490</v>
      </c>
      <c r="CE13" t="s">
        <v>489</v>
      </c>
      <c r="CF13" t="s">
        <v>489</v>
      </c>
      <c r="CG13" t="s">
        <v>490</v>
      </c>
      <c r="CH13" t="s">
        <v>489</v>
      </c>
      <c r="CI13" t="s">
        <v>489</v>
      </c>
      <c r="CJ13" t="s">
        <v>490</v>
      </c>
      <c r="CK13" t="s">
        <v>489</v>
      </c>
      <c r="CL13" t="s">
        <v>489</v>
      </c>
      <c r="CM13" t="s">
        <v>490</v>
      </c>
      <c r="CN13" t="s">
        <v>490</v>
      </c>
      <c r="CO13" t="s">
        <v>490</v>
      </c>
      <c r="CP13" t="s">
        <v>489</v>
      </c>
      <c r="DI13" t="s">
        <v>490</v>
      </c>
      <c r="DJ13" t="s">
        <v>490</v>
      </c>
      <c r="DK13" t="s">
        <v>489</v>
      </c>
      <c r="DL13" t="s">
        <v>489</v>
      </c>
      <c r="DM13" t="s">
        <v>490</v>
      </c>
      <c r="DN13" t="s">
        <v>490</v>
      </c>
      <c r="DO13" t="s">
        <v>490</v>
      </c>
      <c r="DP13" t="s">
        <v>490</v>
      </c>
      <c r="DQ13" t="s">
        <v>489</v>
      </c>
      <c r="DR13" t="s">
        <v>490</v>
      </c>
      <c r="DS13" t="s">
        <v>490</v>
      </c>
      <c r="DT13" t="s">
        <v>489</v>
      </c>
      <c r="DU13" t="s">
        <v>489</v>
      </c>
      <c r="DV13" t="s">
        <v>490</v>
      </c>
      <c r="DW13" t="s">
        <v>490</v>
      </c>
      <c r="DX13" t="s">
        <v>490</v>
      </c>
      <c r="DY13" t="s">
        <v>490</v>
      </c>
      <c r="DZ13" t="s">
        <v>489</v>
      </c>
      <c r="EA13" t="s">
        <v>490</v>
      </c>
      <c r="EB13" t="s">
        <v>490</v>
      </c>
      <c r="EC13" t="s">
        <v>489</v>
      </c>
      <c r="ED13" t="s">
        <v>490</v>
      </c>
      <c r="EE13" t="s">
        <v>490</v>
      </c>
      <c r="EF13" t="s">
        <v>489</v>
      </c>
      <c r="EG13" t="s">
        <v>490</v>
      </c>
      <c r="EH13" t="s">
        <v>490</v>
      </c>
      <c r="EI13" t="s">
        <v>489</v>
      </c>
      <c r="EJ13" t="s">
        <v>490</v>
      </c>
      <c r="EK13" t="s">
        <v>490</v>
      </c>
      <c r="EL13" t="s">
        <v>489</v>
      </c>
      <c r="EM13" t="s">
        <v>490</v>
      </c>
      <c r="EN13" t="s">
        <v>490</v>
      </c>
      <c r="EO13" t="s">
        <v>489</v>
      </c>
      <c r="EP13" t="s">
        <v>490</v>
      </c>
      <c r="EQ13" t="s">
        <v>490</v>
      </c>
      <c r="ER13" t="s">
        <v>489</v>
      </c>
      <c r="ES13" t="s">
        <v>490</v>
      </c>
      <c r="ET13" t="s">
        <v>489</v>
      </c>
      <c r="EU13" t="s">
        <v>490</v>
      </c>
      <c r="EV13" t="s">
        <v>490</v>
      </c>
      <c r="EW13" t="s">
        <v>490</v>
      </c>
      <c r="EX13" t="s">
        <v>489</v>
      </c>
      <c r="EY13">
        <v>100</v>
      </c>
      <c r="EZ13">
        <v>60</v>
      </c>
      <c r="FA13">
        <v>40</v>
      </c>
      <c r="FB13" t="s">
        <v>491</v>
      </c>
      <c r="FC13">
        <v>4500</v>
      </c>
      <c r="FD13">
        <v>4500</v>
      </c>
      <c r="FE13">
        <v>6500</v>
      </c>
      <c r="FF13">
        <v>6500</v>
      </c>
      <c r="GG13">
        <v>0</v>
      </c>
      <c r="GH13">
        <v>10</v>
      </c>
      <c r="GI13">
        <v>90</v>
      </c>
      <c r="GJ13">
        <v>0</v>
      </c>
      <c r="GK13">
        <v>0</v>
      </c>
      <c r="GL13">
        <v>0</v>
      </c>
      <c r="HK13">
        <v>5500</v>
      </c>
      <c r="HL13">
        <v>22000</v>
      </c>
      <c r="HN13">
        <v>2700</v>
      </c>
      <c r="HO13">
        <v>1500</v>
      </c>
      <c r="HP13">
        <v>500</v>
      </c>
      <c r="HS13">
        <v>5500</v>
      </c>
      <c r="HT13">
        <v>22000</v>
      </c>
      <c r="HV13">
        <v>2700</v>
      </c>
      <c r="HW13">
        <v>1500</v>
      </c>
      <c r="HX13">
        <v>500</v>
      </c>
      <c r="IA13">
        <v>0</v>
      </c>
      <c r="ID13">
        <v>0</v>
      </c>
      <c r="IE13">
        <v>0</v>
      </c>
      <c r="IF13">
        <v>0</v>
      </c>
      <c r="II13">
        <v>40</v>
      </c>
      <c r="IJ13">
        <v>60</v>
      </c>
      <c r="IK13">
        <v>0</v>
      </c>
      <c r="IL13">
        <v>90</v>
      </c>
      <c r="IM13">
        <v>10</v>
      </c>
      <c r="IN13">
        <v>0</v>
      </c>
      <c r="IR13">
        <v>45</v>
      </c>
      <c r="IS13">
        <v>55</v>
      </c>
      <c r="IT13">
        <v>0</v>
      </c>
      <c r="IU13">
        <v>100</v>
      </c>
      <c r="IV13">
        <v>0</v>
      </c>
      <c r="IW13">
        <v>0</v>
      </c>
      <c r="IX13">
        <v>100</v>
      </c>
      <c r="IY13">
        <v>0</v>
      </c>
      <c r="IZ13">
        <v>0</v>
      </c>
      <c r="KE13">
        <v>1000</v>
      </c>
      <c r="KF13">
        <v>500</v>
      </c>
      <c r="KG13">
        <v>10000</v>
      </c>
      <c r="KH13">
        <v>7000</v>
      </c>
      <c r="KJ13">
        <v>1000</v>
      </c>
      <c r="KK13">
        <v>500</v>
      </c>
      <c r="KL13">
        <v>10000</v>
      </c>
      <c r="KM13">
        <v>7000</v>
      </c>
      <c r="KO13">
        <v>30</v>
      </c>
      <c r="KP13">
        <v>70</v>
      </c>
      <c r="KQ13">
        <v>0</v>
      </c>
      <c r="KR13">
        <v>50</v>
      </c>
      <c r="KS13">
        <v>50</v>
      </c>
      <c r="KT13">
        <v>0</v>
      </c>
      <c r="KU13">
        <v>40</v>
      </c>
      <c r="KV13">
        <v>60</v>
      </c>
      <c r="KW13">
        <v>0</v>
      </c>
      <c r="KX13">
        <v>85</v>
      </c>
      <c r="KY13">
        <v>15</v>
      </c>
      <c r="KZ13">
        <v>0</v>
      </c>
      <c r="MI13">
        <v>0</v>
      </c>
      <c r="ML13">
        <v>0</v>
      </c>
      <c r="MO13">
        <v>250</v>
      </c>
      <c r="MR13">
        <v>250</v>
      </c>
      <c r="MU13">
        <v>100</v>
      </c>
      <c r="MX13">
        <v>100</v>
      </c>
      <c r="NG13">
        <v>0</v>
      </c>
      <c r="NN13">
        <v>10</v>
      </c>
      <c r="NS13">
        <v>0</v>
      </c>
      <c r="NT13">
        <v>10</v>
      </c>
      <c r="NU13">
        <v>90</v>
      </c>
      <c r="OB13">
        <v>0</v>
      </c>
      <c r="OC13">
        <v>50</v>
      </c>
      <c r="OD13">
        <v>50</v>
      </c>
      <c r="OH13" s="15">
        <v>10</v>
      </c>
      <c r="OI13" s="15">
        <v>8</v>
      </c>
      <c r="OJ13" s="15">
        <v>10</v>
      </c>
      <c r="OK13" s="15">
        <v>7</v>
      </c>
      <c r="OL13" s="15">
        <v>8</v>
      </c>
      <c r="OM13" s="15">
        <v>8</v>
      </c>
      <c r="ON13" s="15">
        <v>7</v>
      </c>
      <c r="OO13" s="15">
        <v>7</v>
      </c>
      <c r="OQ13" t="s">
        <v>487</v>
      </c>
      <c r="OR13" t="s">
        <v>487</v>
      </c>
      <c r="OS13" t="s">
        <v>489</v>
      </c>
      <c r="OT13" t="s">
        <v>489</v>
      </c>
      <c r="OU13" t="s">
        <v>490</v>
      </c>
      <c r="OV13" t="s">
        <v>490</v>
      </c>
      <c r="OW13" t="s">
        <v>490</v>
      </c>
      <c r="OY13">
        <v>100</v>
      </c>
      <c r="OZ13">
        <v>100</v>
      </c>
      <c r="PA13">
        <v>100</v>
      </c>
      <c r="PB13">
        <v>80</v>
      </c>
      <c r="PC13">
        <v>0</v>
      </c>
      <c r="PD13">
        <v>20</v>
      </c>
      <c r="PE13">
        <v>5</v>
      </c>
      <c r="PF13">
        <v>0</v>
      </c>
      <c r="PG13">
        <v>100</v>
      </c>
      <c r="PH13">
        <v>0</v>
      </c>
      <c r="PI13">
        <v>0</v>
      </c>
      <c r="PJ13">
        <v>0</v>
      </c>
      <c r="PK13">
        <v>0</v>
      </c>
      <c r="PL13">
        <v>0</v>
      </c>
      <c r="PM13">
        <v>0</v>
      </c>
      <c r="PN13">
        <v>50</v>
      </c>
      <c r="PO13">
        <v>50</v>
      </c>
      <c r="PP13">
        <v>0</v>
      </c>
      <c r="PQ13">
        <v>0</v>
      </c>
      <c r="PR13">
        <v>0</v>
      </c>
      <c r="PT13" t="s">
        <v>487</v>
      </c>
      <c r="PU13" t="s">
        <v>497</v>
      </c>
      <c r="PV13">
        <v>20000</v>
      </c>
      <c r="PW13">
        <v>15000</v>
      </c>
      <c r="PX13">
        <v>35000</v>
      </c>
      <c r="PY13" t="s">
        <v>493</v>
      </c>
      <c r="PZ13" t="s">
        <v>493</v>
      </c>
      <c r="QA13">
        <v>40</v>
      </c>
      <c r="QB13">
        <v>60</v>
      </c>
      <c r="QC13">
        <v>70</v>
      </c>
      <c r="QD13">
        <v>30</v>
      </c>
      <c r="QE13" t="s">
        <v>508</v>
      </c>
      <c r="QZ13">
        <v>3</v>
      </c>
      <c r="RA13">
        <v>3</v>
      </c>
      <c r="RB13" t="s">
        <v>489</v>
      </c>
      <c r="RC13" t="s">
        <v>490</v>
      </c>
      <c r="RD13" t="s">
        <v>489</v>
      </c>
      <c r="RE13" t="s">
        <v>490</v>
      </c>
      <c r="RF13" t="s">
        <v>489</v>
      </c>
      <c r="RG13" t="s">
        <v>490</v>
      </c>
      <c r="RH13" t="s">
        <v>490</v>
      </c>
      <c r="RI13" t="s">
        <v>490</v>
      </c>
    </row>
    <row r="14" spans="1:486">
      <c r="A14">
        <v>1003835</v>
      </c>
      <c r="B14" t="s">
        <v>503</v>
      </c>
      <c r="C14" t="s">
        <v>972</v>
      </c>
      <c r="D14" t="s">
        <v>518</v>
      </c>
      <c r="E14" t="s">
        <v>500</v>
      </c>
      <c r="F14" t="s">
        <v>505</v>
      </c>
      <c r="G14">
        <v>3.5</v>
      </c>
      <c r="H14" t="s">
        <v>487</v>
      </c>
      <c r="I14" t="s">
        <v>487</v>
      </c>
      <c r="J14" t="s">
        <v>488</v>
      </c>
      <c r="K14" t="s">
        <v>488</v>
      </c>
      <c r="L14" t="s">
        <v>490</v>
      </c>
      <c r="M14" t="s">
        <v>489</v>
      </c>
      <c r="N14" t="s">
        <v>490</v>
      </c>
      <c r="O14" t="s">
        <v>490</v>
      </c>
      <c r="P14" t="s">
        <v>490</v>
      </c>
      <c r="Q14" t="s">
        <v>490</v>
      </c>
      <c r="R14" t="s">
        <v>490</v>
      </c>
      <c r="S14" t="s">
        <v>490</v>
      </c>
      <c r="AX14" t="s">
        <v>489</v>
      </c>
      <c r="AY14" t="s">
        <v>490</v>
      </c>
      <c r="AZ14" t="s">
        <v>490</v>
      </c>
      <c r="BA14" t="s">
        <v>489</v>
      </c>
      <c r="BB14" t="s">
        <v>490</v>
      </c>
      <c r="BC14" t="s">
        <v>490</v>
      </c>
      <c r="BD14" t="s">
        <v>489</v>
      </c>
      <c r="BE14" t="s">
        <v>490</v>
      </c>
      <c r="BF14" t="s">
        <v>490</v>
      </c>
      <c r="BG14" t="s">
        <v>489</v>
      </c>
      <c r="BH14" t="s">
        <v>490</v>
      </c>
      <c r="BI14" t="s">
        <v>490</v>
      </c>
      <c r="BJ14" t="s">
        <v>489</v>
      </c>
      <c r="BK14" t="s">
        <v>489</v>
      </c>
      <c r="BL14" t="s">
        <v>490</v>
      </c>
      <c r="BM14" t="s">
        <v>490</v>
      </c>
      <c r="BN14" t="s">
        <v>490</v>
      </c>
      <c r="BO14" t="s">
        <v>489</v>
      </c>
      <c r="BP14" t="s">
        <v>490</v>
      </c>
      <c r="BQ14" t="s">
        <v>490</v>
      </c>
      <c r="BR14" t="s">
        <v>489</v>
      </c>
      <c r="BS14" t="s">
        <v>490</v>
      </c>
      <c r="BT14" t="s">
        <v>490</v>
      </c>
      <c r="BU14" t="s">
        <v>489</v>
      </c>
      <c r="EY14">
        <v>95</v>
      </c>
      <c r="EZ14">
        <v>30</v>
      </c>
      <c r="FA14">
        <v>70</v>
      </c>
      <c r="FB14" t="s">
        <v>491</v>
      </c>
      <c r="HN14">
        <v>200</v>
      </c>
      <c r="HO14">
        <v>8000</v>
      </c>
      <c r="HV14">
        <v>200</v>
      </c>
      <c r="HW14">
        <v>12000</v>
      </c>
      <c r="IA14">
        <v>0</v>
      </c>
      <c r="IC14">
        <v>0</v>
      </c>
      <c r="ID14">
        <v>0</v>
      </c>
      <c r="IE14">
        <v>0</v>
      </c>
      <c r="IR14">
        <v>10</v>
      </c>
      <c r="IS14">
        <v>90</v>
      </c>
      <c r="IT14">
        <v>0</v>
      </c>
      <c r="IU14">
        <v>90</v>
      </c>
      <c r="IV14">
        <v>10</v>
      </c>
      <c r="IW14">
        <v>0</v>
      </c>
      <c r="OH14" s="15">
        <v>5</v>
      </c>
      <c r="OI14" s="15">
        <v>4</v>
      </c>
      <c r="OJ14" s="15">
        <v>6</v>
      </c>
      <c r="OK14" s="15">
        <v>1</v>
      </c>
      <c r="OL14" s="15">
        <v>1</v>
      </c>
      <c r="OM14" s="15">
        <v>10</v>
      </c>
      <c r="ON14" s="15">
        <v>3</v>
      </c>
      <c r="OO14" s="15">
        <v>8</v>
      </c>
      <c r="OQ14" t="s">
        <v>487</v>
      </c>
      <c r="OR14" t="s">
        <v>487</v>
      </c>
      <c r="OS14" t="s">
        <v>489</v>
      </c>
      <c r="OT14" t="s">
        <v>489</v>
      </c>
      <c r="OU14" t="s">
        <v>490</v>
      </c>
      <c r="OV14" t="s">
        <v>490</v>
      </c>
      <c r="OW14" t="s">
        <v>490</v>
      </c>
      <c r="OY14">
        <v>40</v>
      </c>
      <c r="OZ14">
        <v>8</v>
      </c>
      <c r="PA14">
        <v>0</v>
      </c>
      <c r="PB14">
        <v>0</v>
      </c>
      <c r="PC14">
        <v>0</v>
      </c>
      <c r="PD14">
        <v>0</v>
      </c>
      <c r="PE14">
        <v>0</v>
      </c>
      <c r="PF14">
        <v>0</v>
      </c>
      <c r="PG14">
        <v>0</v>
      </c>
      <c r="PH14">
        <v>0</v>
      </c>
      <c r="PI14">
        <v>95</v>
      </c>
      <c r="PJ14">
        <v>25</v>
      </c>
      <c r="PK14">
        <v>0</v>
      </c>
      <c r="PL14">
        <v>0</v>
      </c>
      <c r="PM14">
        <v>0</v>
      </c>
      <c r="PN14">
        <v>0</v>
      </c>
      <c r="PO14">
        <v>0</v>
      </c>
      <c r="PP14">
        <v>0</v>
      </c>
      <c r="PQ14">
        <v>0</v>
      </c>
      <c r="PR14">
        <v>0</v>
      </c>
      <c r="PT14" t="s">
        <v>487</v>
      </c>
      <c r="PU14" t="s">
        <v>512</v>
      </c>
      <c r="RL14" t="s">
        <v>540</v>
      </c>
    </row>
    <row r="15" spans="1:486">
      <c r="A15">
        <v>11460</v>
      </c>
      <c r="B15" t="s">
        <v>503</v>
      </c>
      <c r="C15" t="s">
        <v>972</v>
      </c>
      <c r="D15" t="s">
        <v>518</v>
      </c>
      <c r="E15" t="s">
        <v>500</v>
      </c>
      <c r="F15" t="s">
        <v>496</v>
      </c>
      <c r="G15">
        <v>41.25</v>
      </c>
      <c r="H15" t="s">
        <v>487</v>
      </c>
      <c r="I15" t="s">
        <v>487</v>
      </c>
      <c r="J15" t="s">
        <v>488</v>
      </c>
      <c r="K15" t="s">
        <v>488</v>
      </c>
      <c r="L15" t="s">
        <v>490</v>
      </c>
      <c r="M15" t="s">
        <v>489</v>
      </c>
      <c r="N15" t="s">
        <v>490</v>
      </c>
      <c r="O15" t="s">
        <v>489</v>
      </c>
      <c r="P15" t="s">
        <v>490</v>
      </c>
      <c r="Q15" t="s">
        <v>490</v>
      </c>
      <c r="R15" t="s">
        <v>490</v>
      </c>
      <c r="S15" t="s">
        <v>490</v>
      </c>
      <c r="AX15" t="s">
        <v>489</v>
      </c>
      <c r="AY15" t="s">
        <v>489</v>
      </c>
      <c r="AZ15" t="s">
        <v>490</v>
      </c>
      <c r="BA15" t="s">
        <v>489</v>
      </c>
      <c r="BB15" t="s">
        <v>489</v>
      </c>
      <c r="BC15" t="s">
        <v>490</v>
      </c>
      <c r="BD15" t="s">
        <v>490</v>
      </c>
      <c r="BE15" t="s">
        <v>490</v>
      </c>
      <c r="BF15" t="s">
        <v>489</v>
      </c>
      <c r="BG15" t="s">
        <v>489</v>
      </c>
      <c r="BH15" t="s">
        <v>489</v>
      </c>
      <c r="BI15" t="s">
        <v>490</v>
      </c>
      <c r="BJ15" t="s">
        <v>490</v>
      </c>
      <c r="BK15" t="s">
        <v>490</v>
      </c>
      <c r="BL15" t="s">
        <v>489</v>
      </c>
      <c r="BM15" t="s">
        <v>489</v>
      </c>
      <c r="BN15" t="s">
        <v>489</v>
      </c>
      <c r="BO15" t="s">
        <v>490</v>
      </c>
      <c r="BP15" t="s">
        <v>489</v>
      </c>
      <c r="BQ15" t="s">
        <v>489</v>
      </c>
      <c r="BR15" t="s">
        <v>490</v>
      </c>
      <c r="BS15" t="s">
        <v>489</v>
      </c>
      <c r="BT15" t="s">
        <v>489</v>
      </c>
      <c r="BU15" t="s">
        <v>490</v>
      </c>
      <c r="CB15" t="s">
        <v>489</v>
      </c>
      <c r="CC15" t="s">
        <v>489</v>
      </c>
      <c r="CD15" t="s">
        <v>490</v>
      </c>
      <c r="CE15" t="s">
        <v>489</v>
      </c>
      <c r="CF15" t="s">
        <v>489</v>
      </c>
      <c r="CG15" t="s">
        <v>490</v>
      </c>
      <c r="CH15" t="s">
        <v>489</v>
      </c>
      <c r="CI15" t="s">
        <v>489</v>
      </c>
      <c r="CJ15" t="s">
        <v>490</v>
      </c>
      <c r="CK15" t="s">
        <v>489</v>
      </c>
      <c r="CL15" t="s">
        <v>489</v>
      </c>
      <c r="CM15" t="s">
        <v>490</v>
      </c>
      <c r="CN15" t="s">
        <v>489</v>
      </c>
      <c r="CO15" t="s">
        <v>489</v>
      </c>
      <c r="CP15" t="s">
        <v>490</v>
      </c>
      <c r="EY15">
        <v>65</v>
      </c>
      <c r="EZ15">
        <v>10</v>
      </c>
      <c r="FA15">
        <v>90</v>
      </c>
      <c r="FB15" t="s">
        <v>543</v>
      </c>
      <c r="OH15" s="15">
        <v>6</v>
      </c>
      <c r="OI15" s="15">
        <v>4</v>
      </c>
      <c r="OJ15" s="15">
        <v>8</v>
      </c>
      <c r="OK15" s="15">
        <v>4</v>
      </c>
      <c r="OL15" s="15">
        <v>8</v>
      </c>
      <c r="OM15" s="15">
        <v>8</v>
      </c>
      <c r="ON15" s="15">
        <v>6</v>
      </c>
      <c r="OO15" s="15">
        <v>8</v>
      </c>
      <c r="OQ15" t="s">
        <v>488</v>
      </c>
      <c r="OR15" t="s">
        <v>487</v>
      </c>
      <c r="OS15" t="s">
        <v>489</v>
      </c>
      <c r="OT15" t="s">
        <v>490</v>
      </c>
      <c r="OU15" t="s">
        <v>490</v>
      </c>
      <c r="OV15" t="s">
        <v>490</v>
      </c>
      <c r="OW15" t="s">
        <v>490</v>
      </c>
      <c r="OY15">
        <v>10</v>
      </c>
      <c r="OZ15">
        <v>2</v>
      </c>
      <c r="PA15">
        <v>0</v>
      </c>
      <c r="PB15">
        <v>0</v>
      </c>
      <c r="PC15">
        <v>1</v>
      </c>
      <c r="PD15">
        <v>0</v>
      </c>
      <c r="PE15">
        <v>0</v>
      </c>
      <c r="PF15">
        <v>0</v>
      </c>
      <c r="PG15">
        <v>0</v>
      </c>
      <c r="PH15">
        <v>0</v>
      </c>
      <c r="PI15">
        <v>0</v>
      </c>
      <c r="PJ15">
        <v>3</v>
      </c>
      <c r="PK15">
        <v>3</v>
      </c>
      <c r="PL15">
        <v>3</v>
      </c>
      <c r="PM15">
        <v>3</v>
      </c>
      <c r="PN15">
        <v>0</v>
      </c>
      <c r="PO15">
        <v>0</v>
      </c>
      <c r="PP15">
        <v>0</v>
      </c>
      <c r="PQ15">
        <v>0</v>
      </c>
      <c r="PR15">
        <v>0</v>
      </c>
      <c r="PT15" t="s">
        <v>488</v>
      </c>
      <c r="PU15" t="s">
        <v>497</v>
      </c>
      <c r="PV15">
        <v>3800</v>
      </c>
      <c r="PW15">
        <v>100000</v>
      </c>
      <c r="PX15">
        <v>103800</v>
      </c>
      <c r="PY15" t="s">
        <v>493</v>
      </c>
      <c r="PZ15" t="s">
        <v>493</v>
      </c>
      <c r="QA15">
        <v>90</v>
      </c>
      <c r="QB15">
        <v>10</v>
      </c>
      <c r="QC15">
        <v>10</v>
      </c>
      <c r="QD15">
        <v>90</v>
      </c>
      <c r="QE15" t="s">
        <v>494</v>
      </c>
      <c r="QF15">
        <v>5</v>
      </c>
      <c r="QG15">
        <v>5</v>
      </c>
      <c r="QH15">
        <v>0</v>
      </c>
      <c r="QI15">
        <v>5</v>
      </c>
      <c r="QJ15">
        <v>40</v>
      </c>
      <c r="QK15">
        <v>5</v>
      </c>
      <c r="QL15">
        <v>30</v>
      </c>
      <c r="QM15">
        <v>10</v>
      </c>
      <c r="QN15">
        <v>0</v>
      </c>
      <c r="QP15">
        <v>14</v>
      </c>
      <c r="QQ15">
        <v>13</v>
      </c>
      <c r="QR15">
        <v>7</v>
      </c>
      <c r="QS15">
        <v>7</v>
      </c>
      <c r="QT15">
        <v>13</v>
      </c>
      <c r="QU15">
        <v>20</v>
      </c>
      <c r="QV15">
        <v>13</v>
      </c>
      <c r="QW15">
        <v>13</v>
      </c>
      <c r="QX15">
        <v>0</v>
      </c>
      <c r="QZ15">
        <v>4</v>
      </c>
      <c r="RA15">
        <v>1</v>
      </c>
      <c r="RB15" t="s">
        <v>489</v>
      </c>
      <c r="RC15" t="s">
        <v>490</v>
      </c>
      <c r="RD15" t="s">
        <v>489</v>
      </c>
      <c r="RE15" t="s">
        <v>489</v>
      </c>
      <c r="RF15" t="s">
        <v>490</v>
      </c>
      <c r="RG15" t="s">
        <v>490</v>
      </c>
      <c r="RH15" t="s">
        <v>490</v>
      </c>
      <c r="RI15" t="s">
        <v>489</v>
      </c>
      <c r="RL15" t="s">
        <v>546</v>
      </c>
      <c r="RP15" t="s">
        <v>547</v>
      </c>
    </row>
    <row r="16" spans="1:486">
      <c r="A16">
        <v>11573</v>
      </c>
      <c r="B16" t="s">
        <v>503</v>
      </c>
      <c r="C16" t="s">
        <v>972</v>
      </c>
      <c r="D16" t="s">
        <v>518</v>
      </c>
      <c r="E16" t="s">
        <v>500</v>
      </c>
      <c r="F16" t="s">
        <v>517</v>
      </c>
      <c r="G16">
        <v>0</v>
      </c>
      <c r="H16" t="s">
        <v>487</v>
      </c>
      <c r="I16" t="s">
        <v>487</v>
      </c>
      <c r="J16" t="s">
        <v>487</v>
      </c>
      <c r="K16" t="s">
        <v>487</v>
      </c>
      <c r="L16" t="s">
        <v>489</v>
      </c>
      <c r="M16" t="s">
        <v>489</v>
      </c>
      <c r="N16" t="s">
        <v>490</v>
      </c>
      <c r="O16" t="s">
        <v>489</v>
      </c>
      <c r="P16" t="s">
        <v>490</v>
      </c>
      <c r="Q16" t="s">
        <v>490</v>
      </c>
      <c r="R16" t="s">
        <v>489</v>
      </c>
      <c r="S16" t="s">
        <v>489</v>
      </c>
      <c r="T16" t="s">
        <v>489</v>
      </c>
      <c r="U16" t="s">
        <v>490</v>
      </c>
      <c r="V16" t="s">
        <v>490</v>
      </c>
      <c r="W16" t="s">
        <v>489</v>
      </c>
      <c r="X16" t="s">
        <v>490</v>
      </c>
      <c r="Y16" t="s">
        <v>490</v>
      </c>
      <c r="Z16" t="s">
        <v>490</v>
      </c>
      <c r="AA16" t="s">
        <v>489</v>
      </c>
      <c r="AB16" t="s">
        <v>490</v>
      </c>
      <c r="AC16" t="s">
        <v>489</v>
      </c>
      <c r="AD16" t="s">
        <v>490</v>
      </c>
      <c r="AE16" t="s">
        <v>490</v>
      </c>
      <c r="AF16" t="s">
        <v>490</v>
      </c>
      <c r="AG16" t="s">
        <v>490</v>
      </c>
      <c r="AH16" t="s">
        <v>489</v>
      </c>
      <c r="AI16" t="s">
        <v>489</v>
      </c>
      <c r="AJ16" t="s">
        <v>490</v>
      </c>
      <c r="AK16" t="s">
        <v>490</v>
      </c>
      <c r="AL16" t="s">
        <v>490</v>
      </c>
      <c r="AM16" t="s">
        <v>490</v>
      </c>
      <c r="AN16" t="s">
        <v>489</v>
      </c>
      <c r="AO16" t="s">
        <v>490</v>
      </c>
      <c r="AP16" t="s">
        <v>490</v>
      </c>
      <c r="AQ16" t="s">
        <v>489</v>
      </c>
      <c r="AR16" t="s">
        <v>490</v>
      </c>
      <c r="AS16" t="s">
        <v>490</v>
      </c>
      <c r="AT16" t="s">
        <v>489</v>
      </c>
      <c r="AU16" t="s">
        <v>489</v>
      </c>
      <c r="AV16" t="s">
        <v>490</v>
      </c>
      <c r="AW16" t="s">
        <v>490</v>
      </c>
      <c r="AX16" t="s">
        <v>489</v>
      </c>
      <c r="AY16" t="s">
        <v>490</v>
      </c>
      <c r="AZ16" t="s">
        <v>490</v>
      </c>
      <c r="BA16" t="s">
        <v>489</v>
      </c>
      <c r="BB16" t="s">
        <v>490</v>
      </c>
      <c r="BC16" t="s">
        <v>490</v>
      </c>
      <c r="BD16" t="s">
        <v>489</v>
      </c>
      <c r="BE16" t="s">
        <v>490</v>
      </c>
      <c r="BF16" t="s">
        <v>490</v>
      </c>
      <c r="BG16" t="s">
        <v>489</v>
      </c>
      <c r="BH16" t="s">
        <v>490</v>
      </c>
      <c r="BI16" t="s">
        <v>490</v>
      </c>
      <c r="BJ16" t="s">
        <v>489</v>
      </c>
      <c r="BK16" t="s">
        <v>490</v>
      </c>
      <c r="BL16" t="s">
        <v>490</v>
      </c>
      <c r="BM16" t="s">
        <v>489</v>
      </c>
      <c r="BN16" t="s">
        <v>490</v>
      </c>
      <c r="BO16" t="s">
        <v>490</v>
      </c>
      <c r="BP16" t="s">
        <v>490</v>
      </c>
      <c r="BQ16" t="s">
        <v>490</v>
      </c>
      <c r="BR16" t="s">
        <v>489</v>
      </c>
      <c r="BS16" t="s">
        <v>490</v>
      </c>
      <c r="BT16" t="s">
        <v>490</v>
      </c>
      <c r="BU16" t="s">
        <v>489</v>
      </c>
      <c r="CB16" t="s">
        <v>490</v>
      </c>
      <c r="CC16" t="s">
        <v>490</v>
      </c>
      <c r="CD16" t="s">
        <v>489</v>
      </c>
      <c r="CE16" t="s">
        <v>489</v>
      </c>
      <c r="CF16" t="s">
        <v>489</v>
      </c>
      <c r="CG16" t="s">
        <v>490</v>
      </c>
      <c r="CH16" t="s">
        <v>489</v>
      </c>
      <c r="CI16" t="s">
        <v>489</v>
      </c>
      <c r="CJ16" t="s">
        <v>490</v>
      </c>
      <c r="CK16" t="s">
        <v>489</v>
      </c>
      <c r="CL16" t="s">
        <v>489</v>
      </c>
      <c r="CM16" t="s">
        <v>490</v>
      </c>
      <c r="CN16" t="s">
        <v>489</v>
      </c>
      <c r="CO16" t="s">
        <v>489</v>
      </c>
      <c r="CP16" t="s">
        <v>490</v>
      </c>
      <c r="DI16" t="s">
        <v>489</v>
      </c>
      <c r="DJ16" t="s">
        <v>489</v>
      </c>
      <c r="DK16" t="s">
        <v>490</v>
      </c>
      <c r="DL16" t="s">
        <v>490</v>
      </c>
      <c r="DM16" t="s">
        <v>490</v>
      </c>
      <c r="DN16" t="s">
        <v>489</v>
      </c>
      <c r="DO16" t="s">
        <v>490</v>
      </c>
      <c r="DP16" t="s">
        <v>490</v>
      </c>
      <c r="DQ16" t="s">
        <v>489</v>
      </c>
      <c r="DR16" t="s">
        <v>489</v>
      </c>
      <c r="DS16" t="s">
        <v>489</v>
      </c>
      <c r="DT16" t="s">
        <v>490</v>
      </c>
      <c r="DU16" t="s">
        <v>489</v>
      </c>
      <c r="DV16" t="s">
        <v>489</v>
      </c>
      <c r="DW16" t="s">
        <v>490</v>
      </c>
      <c r="DX16" t="s">
        <v>490</v>
      </c>
      <c r="DY16" t="s">
        <v>490</v>
      </c>
      <c r="DZ16" t="s">
        <v>489</v>
      </c>
      <c r="EA16" t="s">
        <v>490</v>
      </c>
      <c r="EB16" t="s">
        <v>489</v>
      </c>
      <c r="EC16" t="s">
        <v>490</v>
      </c>
      <c r="ED16" t="s">
        <v>490</v>
      </c>
      <c r="EE16" t="s">
        <v>490</v>
      </c>
      <c r="EF16" t="s">
        <v>489</v>
      </c>
      <c r="EG16" t="s">
        <v>490</v>
      </c>
      <c r="EH16" t="s">
        <v>490</v>
      </c>
      <c r="EI16" t="s">
        <v>489</v>
      </c>
      <c r="EJ16" t="s">
        <v>490</v>
      </c>
      <c r="EK16" t="s">
        <v>490</v>
      </c>
      <c r="EL16" t="s">
        <v>489</v>
      </c>
      <c r="EM16" t="s">
        <v>490</v>
      </c>
      <c r="EN16" t="s">
        <v>490</v>
      </c>
      <c r="EO16" t="s">
        <v>489</v>
      </c>
      <c r="EP16" t="s">
        <v>490</v>
      </c>
      <c r="EQ16" t="s">
        <v>490</v>
      </c>
      <c r="ER16" t="s">
        <v>489</v>
      </c>
      <c r="ES16" t="s">
        <v>490</v>
      </c>
      <c r="ET16" t="s">
        <v>489</v>
      </c>
      <c r="EU16" t="s">
        <v>490</v>
      </c>
      <c r="EV16" t="s">
        <v>490</v>
      </c>
      <c r="EW16" t="s">
        <v>490</v>
      </c>
      <c r="EX16" t="s">
        <v>489</v>
      </c>
      <c r="EY16">
        <v>70</v>
      </c>
      <c r="EZ16">
        <v>70</v>
      </c>
      <c r="FA16">
        <v>30</v>
      </c>
      <c r="FB16" t="s">
        <v>543</v>
      </c>
      <c r="OH16" s="15">
        <v>7</v>
      </c>
      <c r="OI16" s="15">
        <v>7</v>
      </c>
      <c r="OJ16" s="15">
        <v>9</v>
      </c>
      <c r="OK16" s="15">
        <v>7</v>
      </c>
      <c r="OL16" s="15">
        <v>7</v>
      </c>
      <c r="OM16" s="15">
        <v>9</v>
      </c>
      <c r="ON16" s="15">
        <v>5</v>
      </c>
      <c r="OO16" s="15">
        <v>7</v>
      </c>
      <c r="OQ16" t="s">
        <v>488</v>
      </c>
      <c r="OR16" t="s">
        <v>487</v>
      </c>
      <c r="OS16" t="s">
        <v>489</v>
      </c>
      <c r="OT16" t="s">
        <v>490</v>
      </c>
      <c r="OU16" t="s">
        <v>490</v>
      </c>
      <c r="OV16" t="s">
        <v>490</v>
      </c>
      <c r="OW16" t="s">
        <v>490</v>
      </c>
      <c r="OY16">
        <v>75</v>
      </c>
      <c r="OZ16">
        <v>70</v>
      </c>
      <c r="PA16">
        <v>0</v>
      </c>
      <c r="PB16">
        <v>0</v>
      </c>
      <c r="PC16">
        <v>0</v>
      </c>
      <c r="PD16">
        <v>0</v>
      </c>
      <c r="PE16">
        <v>0</v>
      </c>
      <c r="PF16">
        <v>0</v>
      </c>
      <c r="PG16">
        <v>0</v>
      </c>
      <c r="PH16">
        <v>0</v>
      </c>
      <c r="PI16">
        <v>90</v>
      </c>
      <c r="PJ16">
        <v>80</v>
      </c>
      <c r="PK16">
        <v>0</v>
      </c>
      <c r="PL16">
        <v>0</v>
      </c>
      <c r="PM16">
        <v>0</v>
      </c>
      <c r="PN16">
        <v>0</v>
      </c>
      <c r="PO16">
        <v>0</v>
      </c>
      <c r="PP16">
        <v>0</v>
      </c>
      <c r="PQ16">
        <v>0</v>
      </c>
      <c r="PR16">
        <v>0</v>
      </c>
      <c r="PT16" t="s">
        <v>488</v>
      </c>
      <c r="PU16" t="s">
        <v>497</v>
      </c>
      <c r="PV16">
        <v>1000</v>
      </c>
      <c r="PW16">
        <v>0</v>
      </c>
      <c r="PX16">
        <v>1000</v>
      </c>
      <c r="PY16" t="s">
        <v>493</v>
      </c>
      <c r="PZ16" t="s">
        <v>493</v>
      </c>
      <c r="QA16">
        <v>10</v>
      </c>
      <c r="QB16">
        <v>90</v>
      </c>
      <c r="QC16">
        <v>100</v>
      </c>
      <c r="QD16">
        <v>0</v>
      </c>
      <c r="QE16" t="s">
        <v>508</v>
      </c>
      <c r="QZ16">
        <v>0</v>
      </c>
      <c r="RA16">
        <v>2</v>
      </c>
      <c r="RB16" t="s">
        <v>489</v>
      </c>
      <c r="RC16" t="s">
        <v>490</v>
      </c>
      <c r="RD16" t="s">
        <v>490</v>
      </c>
      <c r="RE16" t="s">
        <v>489</v>
      </c>
      <c r="RF16" t="s">
        <v>490</v>
      </c>
      <c r="RG16" t="s">
        <v>490</v>
      </c>
      <c r="RH16" t="s">
        <v>490</v>
      </c>
      <c r="RI16" t="s">
        <v>490</v>
      </c>
      <c r="RL16" t="s">
        <v>548</v>
      </c>
      <c r="RR16" t="s">
        <v>549</v>
      </c>
    </row>
    <row r="17" spans="1:480">
      <c r="A17">
        <v>11641</v>
      </c>
      <c r="B17" t="s">
        <v>503</v>
      </c>
      <c r="C17" t="s">
        <v>972</v>
      </c>
      <c r="D17" t="s">
        <v>518</v>
      </c>
      <c r="E17" t="s">
        <v>500</v>
      </c>
      <c r="F17" t="s">
        <v>505</v>
      </c>
      <c r="G17">
        <v>2.5</v>
      </c>
      <c r="H17" t="s">
        <v>487</v>
      </c>
      <c r="I17" t="s">
        <v>487</v>
      </c>
      <c r="J17" t="s">
        <v>488</v>
      </c>
      <c r="K17" t="s">
        <v>488</v>
      </c>
      <c r="L17" t="s">
        <v>489</v>
      </c>
      <c r="M17" t="s">
        <v>489</v>
      </c>
      <c r="N17" t="s">
        <v>489</v>
      </c>
      <c r="O17" t="s">
        <v>489</v>
      </c>
      <c r="P17" t="s">
        <v>490</v>
      </c>
      <c r="Q17" t="s">
        <v>490</v>
      </c>
      <c r="R17" t="s">
        <v>489</v>
      </c>
      <c r="S17" t="s">
        <v>489</v>
      </c>
      <c r="T17" t="s">
        <v>489</v>
      </c>
      <c r="U17" t="s">
        <v>490</v>
      </c>
      <c r="V17" t="s">
        <v>490</v>
      </c>
      <c r="W17" t="s">
        <v>489</v>
      </c>
      <c r="X17" t="s">
        <v>490</v>
      </c>
      <c r="Y17" t="s">
        <v>490</v>
      </c>
      <c r="Z17" t="s">
        <v>490</v>
      </c>
      <c r="AA17" t="s">
        <v>490</v>
      </c>
      <c r="AB17" t="s">
        <v>489</v>
      </c>
      <c r="AC17" t="s">
        <v>490</v>
      </c>
      <c r="AD17" t="s">
        <v>490</v>
      </c>
      <c r="AE17" t="s">
        <v>489</v>
      </c>
      <c r="AF17" t="s">
        <v>490</v>
      </c>
      <c r="AG17" t="s">
        <v>490</v>
      </c>
      <c r="AH17" t="s">
        <v>489</v>
      </c>
      <c r="AI17" t="s">
        <v>489</v>
      </c>
      <c r="AJ17" t="s">
        <v>490</v>
      </c>
      <c r="AK17" t="s">
        <v>490</v>
      </c>
      <c r="AL17" t="s">
        <v>490</v>
      </c>
      <c r="AM17" t="s">
        <v>490</v>
      </c>
      <c r="AN17" t="s">
        <v>489</v>
      </c>
      <c r="AO17" t="s">
        <v>490</v>
      </c>
      <c r="AP17" t="s">
        <v>490</v>
      </c>
      <c r="AQ17" t="s">
        <v>489</v>
      </c>
      <c r="AR17" t="s">
        <v>490</v>
      </c>
      <c r="AS17" t="s">
        <v>490</v>
      </c>
      <c r="AT17" t="s">
        <v>489</v>
      </c>
      <c r="AU17" t="s">
        <v>490</v>
      </c>
      <c r="AV17" t="s">
        <v>490</v>
      </c>
      <c r="AW17" t="s">
        <v>489</v>
      </c>
      <c r="AX17" t="s">
        <v>489</v>
      </c>
      <c r="AY17" t="s">
        <v>490</v>
      </c>
      <c r="AZ17" t="s">
        <v>490</v>
      </c>
      <c r="BA17" t="s">
        <v>489</v>
      </c>
      <c r="BB17" t="s">
        <v>490</v>
      </c>
      <c r="BC17" t="s">
        <v>490</v>
      </c>
      <c r="BD17" t="s">
        <v>489</v>
      </c>
      <c r="BE17" t="s">
        <v>490</v>
      </c>
      <c r="BF17" t="s">
        <v>490</v>
      </c>
      <c r="BG17" t="s">
        <v>489</v>
      </c>
      <c r="BH17" t="s">
        <v>489</v>
      </c>
      <c r="BI17" t="s">
        <v>490</v>
      </c>
      <c r="BJ17" t="s">
        <v>489</v>
      </c>
      <c r="BK17" t="s">
        <v>489</v>
      </c>
      <c r="BL17" t="s">
        <v>490</v>
      </c>
      <c r="BM17" t="s">
        <v>489</v>
      </c>
      <c r="BN17" t="s">
        <v>490</v>
      </c>
      <c r="BO17" t="s">
        <v>490</v>
      </c>
      <c r="BP17" t="s">
        <v>489</v>
      </c>
      <c r="BQ17" t="s">
        <v>490</v>
      </c>
      <c r="BR17" t="s">
        <v>490</v>
      </c>
      <c r="BS17" t="s">
        <v>489</v>
      </c>
      <c r="BT17" t="s">
        <v>490</v>
      </c>
      <c r="BU17" t="s">
        <v>490</v>
      </c>
      <c r="BV17" t="s">
        <v>490</v>
      </c>
      <c r="BW17" t="s">
        <v>490</v>
      </c>
      <c r="BX17" t="s">
        <v>489</v>
      </c>
      <c r="BY17" t="s">
        <v>489</v>
      </c>
      <c r="BZ17" t="s">
        <v>489</v>
      </c>
      <c r="CA17" t="s">
        <v>490</v>
      </c>
      <c r="CB17" t="s">
        <v>489</v>
      </c>
      <c r="CC17" t="s">
        <v>489</v>
      </c>
      <c r="CD17" t="s">
        <v>490</v>
      </c>
      <c r="CE17" t="s">
        <v>489</v>
      </c>
      <c r="CF17" t="s">
        <v>490</v>
      </c>
      <c r="CG17" t="s">
        <v>490</v>
      </c>
      <c r="CH17" t="s">
        <v>489</v>
      </c>
      <c r="CI17" t="s">
        <v>489</v>
      </c>
      <c r="CJ17" t="s">
        <v>490</v>
      </c>
      <c r="CK17" t="s">
        <v>489</v>
      </c>
      <c r="CL17" t="s">
        <v>490</v>
      </c>
      <c r="CM17" t="s">
        <v>490</v>
      </c>
      <c r="CN17" t="s">
        <v>489</v>
      </c>
      <c r="CO17" t="s">
        <v>489</v>
      </c>
      <c r="CP17" t="s">
        <v>490</v>
      </c>
      <c r="DI17" t="s">
        <v>490</v>
      </c>
      <c r="DJ17" t="s">
        <v>490</v>
      </c>
      <c r="DK17" t="s">
        <v>489</v>
      </c>
      <c r="DL17" t="s">
        <v>490</v>
      </c>
      <c r="DM17" t="s">
        <v>490</v>
      </c>
      <c r="DN17" t="s">
        <v>489</v>
      </c>
      <c r="DO17" t="s">
        <v>490</v>
      </c>
      <c r="DP17" t="s">
        <v>490</v>
      </c>
      <c r="DQ17" t="s">
        <v>489</v>
      </c>
      <c r="DR17" t="s">
        <v>489</v>
      </c>
      <c r="DS17" t="s">
        <v>489</v>
      </c>
      <c r="DT17" t="s">
        <v>490</v>
      </c>
      <c r="DU17" t="s">
        <v>490</v>
      </c>
      <c r="DV17" t="s">
        <v>490</v>
      </c>
      <c r="DW17" t="s">
        <v>489</v>
      </c>
      <c r="DX17" t="s">
        <v>490</v>
      </c>
      <c r="DY17" t="s">
        <v>490</v>
      </c>
      <c r="DZ17" t="s">
        <v>489</v>
      </c>
      <c r="EA17" t="s">
        <v>490</v>
      </c>
      <c r="EB17" t="s">
        <v>489</v>
      </c>
      <c r="EC17" t="s">
        <v>490</v>
      </c>
      <c r="ED17" t="s">
        <v>490</v>
      </c>
      <c r="EE17" t="s">
        <v>490</v>
      </c>
      <c r="EF17" t="s">
        <v>489</v>
      </c>
      <c r="EG17" t="s">
        <v>490</v>
      </c>
      <c r="EH17" t="s">
        <v>490</v>
      </c>
      <c r="EI17" t="s">
        <v>489</v>
      </c>
      <c r="EJ17" t="s">
        <v>490</v>
      </c>
      <c r="EK17" t="s">
        <v>490</v>
      </c>
      <c r="EL17" t="s">
        <v>489</v>
      </c>
      <c r="EM17" t="s">
        <v>490</v>
      </c>
      <c r="EN17" t="s">
        <v>490</v>
      </c>
      <c r="EO17" t="s">
        <v>489</v>
      </c>
      <c r="EP17" t="s">
        <v>490</v>
      </c>
      <c r="EQ17" t="s">
        <v>490</v>
      </c>
      <c r="ER17" t="s">
        <v>489</v>
      </c>
      <c r="ES17" t="s">
        <v>490</v>
      </c>
      <c r="ET17" t="s">
        <v>489</v>
      </c>
      <c r="EU17" t="s">
        <v>490</v>
      </c>
      <c r="EV17" t="s">
        <v>490</v>
      </c>
      <c r="EW17" t="s">
        <v>490</v>
      </c>
      <c r="EX17" t="s">
        <v>489</v>
      </c>
      <c r="EY17">
        <v>50</v>
      </c>
      <c r="EZ17">
        <v>50</v>
      </c>
      <c r="FA17">
        <v>10</v>
      </c>
      <c r="FB17" t="s">
        <v>543</v>
      </c>
      <c r="OH17" s="15">
        <v>8</v>
      </c>
      <c r="OI17" s="15">
        <v>1</v>
      </c>
      <c r="OJ17" s="15">
        <v>3</v>
      </c>
      <c r="OK17" s="15">
        <v>1</v>
      </c>
      <c r="OL17" s="15">
        <v>8</v>
      </c>
      <c r="OM17" s="15">
        <v>10</v>
      </c>
      <c r="ON17" s="15">
        <v>8</v>
      </c>
      <c r="OO17" s="15">
        <v>1</v>
      </c>
      <c r="OQ17" t="s">
        <v>488</v>
      </c>
      <c r="OR17" t="s">
        <v>487</v>
      </c>
      <c r="OS17" t="s">
        <v>489</v>
      </c>
      <c r="OT17" t="s">
        <v>490</v>
      </c>
      <c r="OU17" t="s">
        <v>490</v>
      </c>
      <c r="OV17" t="s">
        <v>490</v>
      </c>
      <c r="OW17" t="s">
        <v>490</v>
      </c>
      <c r="PT17" t="s">
        <v>488</v>
      </c>
      <c r="PU17" t="s">
        <v>497</v>
      </c>
      <c r="PV17">
        <v>10</v>
      </c>
      <c r="PW17">
        <v>0</v>
      </c>
      <c r="PX17">
        <v>10</v>
      </c>
      <c r="PY17" t="s">
        <v>493</v>
      </c>
      <c r="PZ17" t="s">
        <v>493</v>
      </c>
      <c r="QA17">
        <v>10</v>
      </c>
      <c r="QB17">
        <v>90</v>
      </c>
    </row>
    <row r="18" spans="1:480">
      <c r="A18">
        <v>1003424</v>
      </c>
      <c r="B18" t="s">
        <v>503</v>
      </c>
      <c r="C18" t="s">
        <v>972</v>
      </c>
      <c r="D18" t="s">
        <v>518</v>
      </c>
      <c r="E18" t="s">
        <v>500</v>
      </c>
      <c r="F18" t="s">
        <v>509</v>
      </c>
      <c r="G18">
        <v>8</v>
      </c>
      <c r="H18" t="s">
        <v>487</v>
      </c>
      <c r="I18" t="s">
        <v>487</v>
      </c>
      <c r="J18" t="s">
        <v>487</v>
      </c>
      <c r="K18" t="s">
        <v>488</v>
      </c>
      <c r="L18" t="s">
        <v>490</v>
      </c>
      <c r="M18" t="s">
        <v>489</v>
      </c>
      <c r="N18" t="s">
        <v>489</v>
      </c>
      <c r="O18" t="s">
        <v>489</v>
      </c>
      <c r="P18" t="s">
        <v>490</v>
      </c>
      <c r="Q18" t="s">
        <v>490</v>
      </c>
      <c r="R18" t="s">
        <v>490</v>
      </c>
      <c r="S18" t="s">
        <v>490</v>
      </c>
      <c r="AX18" t="s">
        <v>489</v>
      </c>
      <c r="AY18" t="s">
        <v>489</v>
      </c>
      <c r="AZ18" t="s">
        <v>490</v>
      </c>
      <c r="BA18" t="s">
        <v>489</v>
      </c>
      <c r="BB18" t="s">
        <v>489</v>
      </c>
      <c r="BC18" t="s">
        <v>490</v>
      </c>
      <c r="BD18" t="s">
        <v>489</v>
      </c>
      <c r="BE18" t="s">
        <v>489</v>
      </c>
      <c r="BF18" t="s">
        <v>490</v>
      </c>
      <c r="BG18" t="s">
        <v>489</v>
      </c>
      <c r="BH18" t="s">
        <v>489</v>
      </c>
      <c r="BI18" t="s">
        <v>490</v>
      </c>
      <c r="BJ18" t="s">
        <v>489</v>
      </c>
      <c r="BK18" t="s">
        <v>489</v>
      </c>
      <c r="BL18" t="s">
        <v>490</v>
      </c>
      <c r="BM18" t="s">
        <v>490</v>
      </c>
      <c r="BN18" t="s">
        <v>490</v>
      </c>
      <c r="BO18" t="s">
        <v>489</v>
      </c>
      <c r="BP18" t="s">
        <v>490</v>
      </c>
      <c r="BQ18" t="s">
        <v>490</v>
      </c>
      <c r="BR18" t="s">
        <v>489</v>
      </c>
      <c r="BS18" t="s">
        <v>490</v>
      </c>
      <c r="BT18" t="s">
        <v>490</v>
      </c>
      <c r="BU18" t="s">
        <v>489</v>
      </c>
      <c r="BV18" t="s">
        <v>490</v>
      </c>
      <c r="BW18" t="s">
        <v>490</v>
      </c>
      <c r="BX18" t="s">
        <v>489</v>
      </c>
      <c r="BY18" t="s">
        <v>489</v>
      </c>
      <c r="BZ18" t="s">
        <v>490</v>
      </c>
      <c r="CA18" t="s">
        <v>490</v>
      </c>
      <c r="CB18" t="s">
        <v>489</v>
      </c>
      <c r="CC18" t="s">
        <v>489</v>
      </c>
      <c r="CD18" t="s">
        <v>490</v>
      </c>
      <c r="CE18" t="s">
        <v>489</v>
      </c>
      <c r="CF18" t="s">
        <v>489</v>
      </c>
      <c r="CG18" t="s">
        <v>490</v>
      </c>
      <c r="CH18" t="s">
        <v>489</v>
      </c>
      <c r="CI18" t="s">
        <v>489</v>
      </c>
      <c r="CJ18" t="s">
        <v>490</v>
      </c>
      <c r="CK18" t="s">
        <v>489</v>
      </c>
      <c r="CL18" t="s">
        <v>489</v>
      </c>
      <c r="CM18" t="s">
        <v>490</v>
      </c>
      <c r="CN18" t="s">
        <v>489</v>
      </c>
      <c r="CO18" t="s">
        <v>489</v>
      </c>
      <c r="CP18" t="s">
        <v>490</v>
      </c>
      <c r="EY18">
        <v>95</v>
      </c>
      <c r="EZ18">
        <v>95</v>
      </c>
      <c r="FA18">
        <v>5</v>
      </c>
      <c r="FB18" t="s">
        <v>543</v>
      </c>
      <c r="OH18" s="15">
        <v>8</v>
      </c>
      <c r="OI18" s="15">
        <v>8</v>
      </c>
      <c r="OJ18" s="15">
        <v>9</v>
      </c>
      <c r="OK18" s="15">
        <v>4</v>
      </c>
      <c r="OL18" s="15">
        <v>8</v>
      </c>
      <c r="OM18" s="15">
        <v>9</v>
      </c>
      <c r="ON18" s="15">
        <v>7</v>
      </c>
      <c r="OO18" s="15">
        <v>1</v>
      </c>
      <c r="OQ18" t="s">
        <v>488</v>
      </c>
      <c r="OR18" t="s">
        <v>487</v>
      </c>
      <c r="OS18" t="s">
        <v>489</v>
      </c>
      <c r="OT18" t="s">
        <v>489</v>
      </c>
      <c r="OU18" t="s">
        <v>490</v>
      </c>
      <c r="OV18" t="s">
        <v>490</v>
      </c>
      <c r="OW18" t="s">
        <v>490</v>
      </c>
      <c r="OY18">
        <v>95</v>
      </c>
      <c r="OZ18">
        <v>95</v>
      </c>
      <c r="PA18">
        <v>95</v>
      </c>
      <c r="PB18">
        <v>95</v>
      </c>
      <c r="PC18">
        <v>0</v>
      </c>
      <c r="PD18">
        <v>0</v>
      </c>
      <c r="PE18">
        <v>0</v>
      </c>
      <c r="PF18">
        <v>0</v>
      </c>
      <c r="PG18">
        <v>0</v>
      </c>
      <c r="PH18">
        <v>0</v>
      </c>
      <c r="PI18">
        <v>95</v>
      </c>
      <c r="PJ18">
        <v>95</v>
      </c>
      <c r="PK18">
        <v>95</v>
      </c>
      <c r="PL18">
        <v>95</v>
      </c>
      <c r="PM18">
        <v>0</v>
      </c>
      <c r="PN18">
        <v>0</v>
      </c>
      <c r="PO18">
        <v>0</v>
      </c>
      <c r="PP18">
        <v>0</v>
      </c>
      <c r="PQ18">
        <v>0</v>
      </c>
      <c r="PR18">
        <v>0</v>
      </c>
      <c r="PT18" t="s">
        <v>488</v>
      </c>
      <c r="PU18" t="s">
        <v>519</v>
      </c>
      <c r="PV18">
        <v>79000</v>
      </c>
      <c r="PW18">
        <v>0</v>
      </c>
      <c r="PX18">
        <v>79000</v>
      </c>
      <c r="PY18" t="s">
        <v>493</v>
      </c>
      <c r="PZ18" t="s">
        <v>493</v>
      </c>
      <c r="QA18">
        <v>0</v>
      </c>
      <c r="QB18">
        <v>100</v>
      </c>
      <c r="QC18">
        <v>90</v>
      </c>
      <c r="QD18">
        <v>10</v>
      </c>
      <c r="QE18" t="s">
        <v>508</v>
      </c>
      <c r="QZ18">
        <v>1</v>
      </c>
      <c r="RA18">
        <v>0.5</v>
      </c>
      <c r="RB18" t="s">
        <v>489</v>
      </c>
      <c r="RC18" t="s">
        <v>490</v>
      </c>
      <c r="RD18" t="s">
        <v>490</v>
      </c>
      <c r="RE18" t="s">
        <v>490</v>
      </c>
      <c r="RF18" t="s">
        <v>490</v>
      </c>
      <c r="RG18" t="s">
        <v>490</v>
      </c>
      <c r="RH18" t="s">
        <v>490</v>
      </c>
      <c r="RI18" t="s">
        <v>490</v>
      </c>
    </row>
    <row r="19" spans="1:480">
      <c r="A19">
        <v>1003482</v>
      </c>
      <c r="B19" t="s">
        <v>503</v>
      </c>
      <c r="C19" t="s">
        <v>972</v>
      </c>
      <c r="D19" t="s">
        <v>518</v>
      </c>
      <c r="E19" t="s">
        <v>500</v>
      </c>
      <c r="F19" t="s">
        <v>509</v>
      </c>
      <c r="G19">
        <v>49</v>
      </c>
      <c r="H19" t="s">
        <v>487</v>
      </c>
      <c r="I19" t="s">
        <v>487</v>
      </c>
      <c r="J19" t="s">
        <v>487</v>
      </c>
      <c r="K19" t="s">
        <v>487</v>
      </c>
      <c r="L19" t="s">
        <v>489</v>
      </c>
      <c r="M19" t="s">
        <v>489</v>
      </c>
      <c r="N19" t="s">
        <v>489</v>
      </c>
      <c r="O19" t="s">
        <v>489</v>
      </c>
      <c r="P19" t="s">
        <v>490</v>
      </c>
      <c r="Q19" t="s">
        <v>490</v>
      </c>
      <c r="R19" t="s">
        <v>489</v>
      </c>
      <c r="S19" t="s">
        <v>489</v>
      </c>
      <c r="T19" t="s">
        <v>489</v>
      </c>
      <c r="U19" t="s">
        <v>489</v>
      </c>
      <c r="V19" t="s">
        <v>490</v>
      </c>
      <c r="W19" t="s">
        <v>489</v>
      </c>
      <c r="X19" t="s">
        <v>489</v>
      </c>
      <c r="Y19" t="s">
        <v>490</v>
      </c>
      <c r="Z19" t="s">
        <v>490</v>
      </c>
      <c r="AA19" t="s">
        <v>489</v>
      </c>
      <c r="AB19" t="s">
        <v>490</v>
      </c>
      <c r="AC19" t="s">
        <v>489</v>
      </c>
      <c r="AD19" t="s">
        <v>490</v>
      </c>
      <c r="AE19" t="s">
        <v>490</v>
      </c>
      <c r="AF19" t="s">
        <v>489</v>
      </c>
      <c r="AG19" t="s">
        <v>489</v>
      </c>
      <c r="AH19" t="s">
        <v>490</v>
      </c>
      <c r="AI19" t="s">
        <v>489</v>
      </c>
      <c r="AJ19" t="s">
        <v>489</v>
      </c>
      <c r="AK19" t="s">
        <v>490</v>
      </c>
      <c r="AL19" t="s">
        <v>490</v>
      </c>
      <c r="AM19" t="s">
        <v>490</v>
      </c>
      <c r="AN19" t="s">
        <v>489</v>
      </c>
      <c r="AO19" t="s">
        <v>489</v>
      </c>
      <c r="AP19" t="s">
        <v>489</v>
      </c>
      <c r="AQ19" t="s">
        <v>490</v>
      </c>
      <c r="AR19" t="s">
        <v>489</v>
      </c>
      <c r="AS19" t="s">
        <v>489</v>
      </c>
      <c r="AT19" t="s">
        <v>490</v>
      </c>
      <c r="AU19" t="s">
        <v>489</v>
      </c>
      <c r="AV19" t="s">
        <v>489</v>
      </c>
      <c r="AW19" t="s">
        <v>490</v>
      </c>
      <c r="AX19" t="s">
        <v>489</v>
      </c>
      <c r="AY19" t="s">
        <v>489</v>
      </c>
      <c r="AZ19" t="s">
        <v>490</v>
      </c>
      <c r="BA19" t="s">
        <v>489</v>
      </c>
      <c r="BB19" t="s">
        <v>489</v>
      </c>
      <c r="BC19" t="s">
        <v>490</v>
      </c>
      <c r="BD19" t="s">
        <v>489</v>
      </c>
      <c r="BE19" t="s">
        <v>489</v>
      </c>
      <c r="BF19" t="s">
        <v>490</v>
      </c>
      <c r="BG19" t="s">
        <v>489</v>
      </c>
      <c r="BH19" t="s">
        <v>489</v>
      </c>
      <c r="BI19" t="s">
        <v>490</v>
      </c>
      <c r="BJ19" t="s">
        <v>489</v>
      </c>
      <c r="BK19" t="s">
        <v>489</v>
      </c>
      <c r="BL19" t="s">
        <v>490</v>
      </c>
      <c r="BM19" t="s">
        <v>489</v>
      </c>
      <c r="BN19" t="s">
        <v>489</v>
      </c>
      <c r="BO19" t="s">
        <v>490</v>
      </c>
      <c r="BP19" t="s">
        <v>489</v>
      </c>
      <c r="BQ19" t="s">
        <v>489</v>
      </c>
      <c r="BR19" t="s">
        <v>490</v>
      </c>
      <c r="BS19" t="s">
        <v>489</v>
      </c>
      <c r="BT19" t="s">
        <v>489</v>
      </c>
      <c r="BU19" t="s">
        <v>490</v>
      </c>
      <c r="BV19" t="s">
        <v>490</v>
      </c>
      <c r="BW19" t="s">
        <v>490</v>
      </c>
      <c r="BX19" t="s">
        <v>489</v>
      </c>
      <c r="BY19" t="s">
        <v>489</v>
      </c>
      <c r="BZ19" t="s">
        <v>490</v>
      </c>
      <c r="CA19" t="s">
        <v>490</v>
      </c>
      <c r="CB19" t="s">
        <v>489</v>
      </c>
      <c r="CC19" t="s">
        <v>489</v>
      </c>
      <c r="CD19" t="s">
        <v>490</v>
      </c>
      <c r="CE19" t="s">
        <v>489</v>
      </c>
      <c r="CF19" t="s">
        <v>489</v>
      </c>
      <c r="CG19" t="s">
        <v>490</v>
      </c>
      <c r="CH19" t="s">
        <v>489</v>
      </c>
      <c r="CI19" t="s">
        <v>489</v>
      </c>
      <c r="CJ19" t="s">
        <v>490</v>
      </c>
      <c r="CK19" t="s">
        <v>489</v>
      </c>
      <c r="CL19" t="s">
        <v>489</v>
      </c>
      <c r="CM19" t="s">
        <v>490</v>
      </c>
      <c r="CN19" t="s">
        <v>489</v>
      </c>
      <c r="CO19" t="s">
        <v>489</v>
      </c>
      <c r="CP19" t="s">
        <v>490</v>
      </c>
      <c r="DI19" t="s">
        <v>489</v>
      </c>
      <c r="DJ19" t="s">
        <v>489</v>
      </c>
      <c r="DK19" t="s">
        <v>490</v>
      </c>
      <c r="DL19" t="s">
        <v>489</v>
      </c>
      <c r="DM19" t="s">
        <v>489</v>
      </c>
      <c r="DN19" t="s">
        <v>490</v>
      </c>
      <c r="DO19" t="s">
        <v>490</v>
      </c>
      <c r="DP19" t="s">
        <v>490</v>
      </c>
      <c r="DQ19" t="s">
        <v>489</v>
      </c>
      <c r="DR19" t="s">
        <v>489</v>
      </c>
      <c r="DS19" t="s">
        <v>489</v>
      </c>
      <c r="DT19" t="s">
        <v>490</v>
      </c>
      <c r="DU19" t="s">
        <v>489</v>
      </c>
      <c r="DV19" t="s">
        <v>489</v>
      </c>
      <c r="DW19" t="s">
        <v>490</v>
      </c>
      <c r="DX19" t="s">
        <v>489</v>
      </c>
      <c r="DY19" t="s">
        <v>489</v>
      </c>
      <c r="DZ19" t="s">
        <v>490</v>
      </c>
      <c r="EA19" t="s">
        <v>490</v>
      </c>
      <c r="EB19" t="s">
        <v>489</v>
      </c>
      <c r="EC19" t="s">
        <v>490</v>
      </c>
      <c r="ED19" t="s">
        <v>490</v>
      </c>
      <c r="EE19" t="s">
        <v>490</v>
      </c>
      <c r="EF19" t="s">
        <v>489</v>
      </c>
      <c r="EG19" t="s">
        <v>490</v>
      </c>
      <c r="EH19" t="s">
        <v>490</v>
      </c>
      <c r="EI19" t="s">
        <v>489</v>
      </c>
      <c r="EJ19" t="s">
        <v>490</v>
      </c>
      <c r="EK19" t="s">
        <v>490</v>
      </c>
      <c r="EL19" t="s">
        <v>489</v>
      </c>
      <c r="EM19" t="s">
        <v>490</v>
      </c>
      <c r="EN19" t="s">
        <v>489</v>
      </c>
      <c r="EO19" t="s">
        <v>490</v>
      </c>
      <c r="EP19" t="s">
        <v>490</v>
      </c>
      <c r="EQ19" t="s">
        <v>489</v>
      </c>
      <c r="ER19" t="s">
        <v>490</v>
      </c>
      <c r="ES19" t="s">
        <v>490</v>
      </c>
      <c r="ET19" t="s">
        <v>489</v>
      </c>
      <c r="EU19" t="s">
        <v>490</v>
      </c>
      <c r="EV19" t="s">
        <v>490</v>
      </c>
      <c r="EW19" t="s">
        <v>489</v>
      </c>
      <c r="EX19" t="s">
        <v>490</v>
      </c>
      <c r="EY19">
        <v>95</v>
      </c>
      <c r="EZ19">
        <v>55</v>
      </c>
      <c r="FA19">
        <v>10</v>
      </c>
      <c r="FB19" t="s">
        <v>543</v>
      </c>
      <c r="OH19" s="15">
        <v>9</v>
      </c>
      <c r="OI19" s="15">
        <v>3</v>
      </c>
      <c r="OJ19" s="15">
        <v>8</v>
      </c>
      <c r="OK19" s="15">
        <v>3</v>
      </c>
      <c r="OL19" s="15">
        <v>8</v>
      </c>
      <c r="OM19" s="15">
        <v>9</v>
      </c>
      <c r="ON19" s="15">
        <v>7</v>
      </c>
      <c r="OO19" s="15">
        <v>9</v>
      </c>
      <c r="OQ19" t="s">
        <v>487</v>
      </c>
      <c r="OR19" t="s">
        <v>487</v>
      </c>
      <c r="OS19" t="s">
        <v>489</v>
      </c>
      <c r="OT19" t="s">
        <v>489</v>
      </c>
      <c r="OU19" t="s">
        <v>490</v>
      </c>
      <c r="OV19" t="s">
        <v>490</v>
      </c>
      <c r="OW19" t="s">
        <v>490</v>
      </c>
      <c r="OY19">
        <v>95</v>
      </c>
      <c r="OZ19">
        <v>90</v>
      </c>
      <c r="PA19">
        <v>25</v>
      </c>
      <c r="PB19">
        <v>15</v>
      </c>
      <c r="PC19">
        <v>0</v>
      </c>
      <c r="PD19">
        <v>0</v>
      </c>
      <c r="PE19">
        <v>5</v>
      </c>
      <c r="PF19">
        <v>90</v>
      </c>
      <c r="PG19">
        <v>0</v>
      </c>
      <c r="PH19">
        <v>0</v>
      </c>
      <c r="PI19">
        <v>98</v>
      </c>
      <c r="PJ19">
        <v>95</v>
      </c>
      <c r="PK19">
        <v>25</v>
      </c>
      <c r="PL19">
        <v>25</v>
      </c>
      <c r="PM19">
        <v>0</v>
      </c>
      <c r="PN19">
        <v>10</v>
      </c>
      <c r="PO19">
        <v>15</v>
      </c>
      <c r="PP19">
        <v>95</v>
      </c>
      <c r="PQ19">
        <v>0</v>
      </c>
      <c r="PR19">
        <v>0</v>
      </c>
      <c r="PT19" t="s">
        <v>487</v>
      </c>
      <c r="PU19" t="s">
        <v>512</v>
      </c>
      <c r="PV19">
        <v>60000</v>
      </c>
      <c r="PW19">
        <v>3000</v>
      </c>
      <c r="PX19">
        <v>63000</v>
      </c>
      <c r="PY19" t="s">
        <v>493</v>
      </c>
      <c r="PZ19" t="s">
        <v>493</v>
      </c>
      <c r="QA19">
        <v>20</v>
      </c>
      <c r="QB19">
        <v>80</v>
      </c>
      <c r="QC19">
        <v>30</v>
      </c>
      <c r="QD19">
        <v>70</v>
      </c>
      <c r="QE19" t="s">
        <v>494</v>
      </c>
      <c r="QF19">
        <v>5</v>
      </c>
      <c r="QG19">
        <v>10</v>
      </c>
      <c r="QH19">
        <v>0</v>
      </c>
      <c r="QI19">
        <v>5</v>
      </c>
      <c r="QJ19">
        <v>25</v>
      </c>
      <c r="QK19">
        <v>0</v>
      </c>
      <c r="QL19">
        <v>20</v>
      </c>
      <c r="QM19">
        <v>35</v>
      </c>
      <c r="QN19">
        <v>0</v>
      </c>
      <c r="QP19">
        <v>20</v>
      </c>
      <c r="QQ19">
        <v>15</v>
      </c>
      <c r="QR19">
        <v>5</v>
      </c>
      <c r="QS19">
        <v>5</v>
      </c>
      <c r="QT19">
        <v>5</v>
      </c>
      <c r="QU19">
        <v>10</v>
      </c>
      <c r="QV19">
        <v>10</v>
      </c>
      <c r="QW19">
        <v>30</v>
      </c>
      <c r="QX19">
        <v>0</v>
      </c>
      <c r="QZ19">
        <v>5</v>
      </c>
      <c r="RA19">
        <v>2</v>
      </c>
      <c r="RB19" t="s">
        <v>489</v>
      </c>
      <c r="RC19" t="s">
        <v>490</v>
      </c>
      <c r="RD19" t="s">
        <v>489</v>
      </c>
      <c r="RE19" t="s">
        <v>490</v>
      </c>
      <c r="RF19" t="s">
        <v>490</v>
      </c>
      <c r="RG19" t="s">
        <v>490</v>
      </c>
      <c r="RH19" t="s">
        <v>490</v>
      </c>
      <c r="RI19" t="s">
        <v>490</v>
      </c>
      <c r="RL19" t="s">
        <v>564</v>
      </c>
    </row>
    <row r="20" spans="1:480">
      <c r="A20">
        <v>1003520</v>
      </c>
      <c r="B20" t="s">
        <v>503</v>
      </c>
      <c r="C20" t="s">
        <v>972</v>
      </c>
      <c r="D20" t="s">
        <v>518</v>
      </c>
      <c r="E20" t="s">
        <v>500</v>
      </c>
      <c r="F20" t="s">
        <v>505</v>
      </c>
      <c r="G20">
        <v>2</v>
      </c>
      <c r="H20" t="s">
        <v>487</v>
      </c>
      <c r="I20" t="s">
        <v>487</v>
      </c>
      <c r="J20" t="s">
        <v>487</v>
      </c>
      <c r="K20" t="s">
        <v>488</v>
      </c>
      <c r="L20" t="s">
        <v>489</v>
      </c>
      <c r="M20" t="s">
        <v>489</v>
      </c>
      <c r="N20" t="s">
        <v>490</v>
      </c>
      <c r="O20" t="s">
        <v>489</v>
      </c>
      <c r="P20" t="s">
        <v>489</v>
      </c>
      <c r="Q20" t="s">
        <v>490</v>
      </c>
      <c r="R20" t="s">
        <v>490</v>
      </c>
      <c r="S20" t="s">
        <v>489</v>
      </c>
      <c r="T20" t="s">
        <v>490</v>
      </c>
      <c r="U20" t="s">
        <v>490</v>
      </c>
      <c r="V20" t="s">
        <v>489</v>
      </c>
      <c r="W20" t="s">
        <v>489</v>
      </c>
      <c r="X20" t="s">
        <v>490</v>
      </c>
      <c r="Y20" t="s">
        <v>490</v>
      </c>
      <c r="Z20" t="s">
        <v>490</v>
      </c>
      <c r="AA20" t="s">
        <v>490</v>
      </c>
      <c r="AB20" t="s">
        <v>489</v>
      </c>
      <c r="AC20" t="s">
        <v>490</v>
      </c>
      <c r="AD20" t="s">
        <v>490</v>
      </c>
      <c r="AE20" t="s">
        <v>489</v>
      </c>
      <c r="AF20" t="s">
        <v>489</v>
      </c>
      <c r="AG20" t="s">
        <v>490</v>
      </c>
      <c r="AH20" t="s">
        <v>490</v>
      </c>
      <c r="AI20" t="s">
        <v>489</v>
      </c>
      <c r="AJ20" t="s">
        <v>490</v>
      </c>
      <c r="AK20" t="s">
        <v>490</v>
      </c>
      <c r="AL20" t="s">
        <v>490</v>
      </c>
      <c r="AM20" t="s">
        <v>490</v>
      </c>
      <c r="AN20" t="s">
        <v>489</v>
      </c>
      <c r="AO20" t="s">
        <v>490</v>
      </c>
      <c r="AP20" t="s">
        <v>490</v>
      </c>
      <c r="AQ20" t="s">
        <v>489</v>
      </c>
      <c r="AR20" t="s">
        <v>490</v>
      </c>
      <c r="AS20" t="s">
        <v>490</v>
      </c>
      <c r="AT20" t="s">
        <v>489</v>
      </c>
      <c r="AU20" t="s">
        <v>489</v>
      </c>
      <c r="AV20" t="s">
        <v>490</v>
      </c>
      <c r="AW20" t="s">
        <v>490</v>
      </c>
      <c r="AX20" t="s">
        <v>489</v>
      </c>
      <c r="AY20" t="s">
        <v>489</v>
      </c>
      <c r="AZ20" t="s">
        <v>490</v>
      </c>
      <c r="BA20" t="s">
        <v>489</v>
      </c>
      <c r="BB20" t="s">
        <v>489</v>
      </c>
      <c r="BC20" t="s">
        <v>490</v>
      </c>
      <c r="BD20" t="s">
        <v>489</v>
      </c>
      <c r="BE20" t="s">
        <v>489</v>
      </c>
      <c r="BF20" t="s">
        <v>490</v>
      </c>
      <c r="BG20" t="s">
        <v>489</v>
      </c>
      <c r="BH20" t="s">
        <v>489</v>
      </c>
      <c r="BI20" t="s">
        <v>490</v>
      </c>
      <c r="BJ20" t="s">
        <v>489</v>
      </c>
      <c r="BK20" t="s">
        <v>489</v>
      </c>
      <c r="BL20" t="s">
        <v>490</v>
      </c>
      <c r="BM20" t="s">
        <v>489</v>
      </c>
      <c r="BN20" t="s">
        <v>490</v>
      </c>
      <c r="BO20" t="s">
        <v>490</v>
      </c>
      <c r="BP20" t="s">
        <v>490</v>
      </c>
      <c r="BQ20" t="s">
        <v>490</v>
      </c>
      <c r="BR20" t="s">
        <v>489</v>
      </c>
      <c r="BS20" t="s">
        <v>489</v>
      </c>
      <c r="BT20" t="s">
        <v>489</v>
      </c>
      <c r="BU20" t="s">
        <v>490</v>
      </c>
      <c r="CB20" t="s">
        <v>489</v>
      </c>
      <c r="CC20" t="s">
        <v>489</v>
      </c>
      <c r="CD20" t="s">
        <v>490</v>
      </c>
      <c r="CE20" t="s">
        <v>489</v>
      </c>
      <c r="CF20" t="s">
        <v>489</v>
      </c>
      <c r="CG20" t="s">
        <v>490</v>
      </c>
      <c r="CH20" t="s">
        <v>489</v>
      </c>
      <c r="CI20" t="s">
        <v>489</v>
      </c>
      <c r="CJ20" t="s">
        <v>490</v>
      </c>
      <c r="CK20" t="s">
        <v>489</v>
      </c>
      <c r="CL20" t="s">
        <v>489</v>
      </c>
      <c r="CM20" t="s">
        <v>490</v>
      </c>
      <c r="CN20" t="s">
        <v>489</v>
      </c>
      <c r="CO20" t="s">
        <v>489</v>
      </c>
      <c r="CP20" t="s">
        <v>490</v>
      </c>
      <c r="CQ20" t="s">
        <v>489</v>
      </c>
      <c r="CR20" t="s">
        <v>489</v>
      </c>
      <c r="CS20" t="s">
        <v>490</v>
      </c>
      <c r="CT20" t="s">
        <v>489</v>
      </c>
      <c r="CU20" t="s">
        <v>489</v>
      </c>
      <c r="CV20" t="s">
        <v>490</v>
      </c>
      <c r="EA20" t="s">
        <v>490</v>
      </c>
      <c r="EB20" t="s">
        <v>489</v>
      </c>
      <c r="EC20" t="s">
        <v>490</v>
      </c>
      <c r="ED20" t="s">
        <v>490</v>
      </c>
      <c r="EE20" t="s">
        <v>490</v>
      </c>
      <c r="EF20" t="s">
        <v>489</v>
      </c>
      <c r="EG20" t="s">
        <v>490</v>
      </c>
      <c r="EH20" t="s">
        <v>490</v>
      </c>
      <c r="EI20" t="s">
        <v>489</v>
      </c>
      <c r="EJ20" t="s">
        <v>490</v>
      </c>
      <c r="EK20" t="s">
        <v>490</v>
      </c>
      <c r="EL20" t="s">
        <v>489</v>
      </c>
      <c r="EM20" t="s">
        <v>490</v>
      </c>
      <c r="EN20" t="s">
        <v>489</v>
      </c>
      <c r="EO20" t="s">
        <v>490</v>
      </c>
      <c r="EP20" t="s">
        <v>490</v>
      </c>
      <c r="EQ20" t="s">
        <v>490</v>
      </c>
      <c r="ER20" t="s">
        <v>489</v>
      </c>
      <c r="ES20" t="s">
        <v>490</v>
      </c>
      <c r="ET20" t="s">
        <v>489</v>
      </c>
      <c r="EU20" t="s">
        <v>490</v>
      </c>
      <c r="EV20" t="s">
        <v>490</v>
      </c>
      <c r="EW20" t="s">
        <v>490</v>
      </c>
      <c r="EX20" t="s">
        <v>489</v>
      </c>
      <c r="EY20">
        <v>98</v>
      </c>
      <c r="EZ20">
        <v>98</v>
      </c>
      <c r="FA20">
        <v>2</v>
      </c>
      <c r="FB20" t="s">
        <v>543</v>
      </c>
      <c r="OH20" s="15">
        <v>9</v>
      </c>
      <c r="OI20" s="15">
        <v>8</v>
      </c>
      <c r="OJ20" s="15">
        <v>10</v>
      </c>
      <c r="OK20" s="15">
        <v>8</v>
      </c>
      <c r="OL20" s="15">
        <v>10</v>
      </c>
      <c r="OM20" s="15">
        <v>10</v>
      </c>
      <c r="ON20" s="15">
        <v>8</v>
      </c>
      <c r="OO20" s="15">
        <v>9</v>
      </c>
      <c r="OQ20" t="s">
        <v>487</v>
      </c>
      <c r="OR20" t="s">
        <v>487</v>
      </c>
      <c r="OS20" t="s">
        <v>489</v>
      </c>
      <c r="OT20" t="s">
        <v>489</v>
      </c>
      <c r="OU20" t="s">
        <v>490</v>
      </c>
      <c r="OV20" t="s">
        <v>490</v>
      </c>
      <c r="OW20" t="s">
        <v>490</v>
      </c>
      <c r="OY20">
        <v>98</v>
      </c>
      <c r="OZ20">
        <v>98</v>
      </c>
      <c r="PA20">
        <v>98</v>
      </c>
      <c r="PB20">
        <v>0</v>
      </c>
      <c r="PC20">
        <v>0</v>
      </c>
      <c r="PD20">
        <v>10</v>
      </c>
      <c r="PE20">
        <v>25</v>
      </c>
      <c r="PF20">
        <v>98</v>
      </c>
      <c r="PG20">
        <v>98</v>
      </c>
      <c r="PH20">
        <v>0</v>
      </c>
      <c r="PI20">
        <v>100</v>
      </c>
      <c r="PJ20">
        <v>100</v>
      </c>
      <c r="PK20">
        <v>100</v>
      </c>
      <c r="PL20">
        <v>50</v>
      </c>
      <c r="PM20">
        <v>0</v>
      </c>
      <c r="PN20">
        <v>50</v>
      </c>
      <c r="PO20">
        <v>100</v>
      </c>
      <c r="PP20">
        <v>100</v>
      </c>
      <c r="PQ20">
        <v>100</v>
      </c>
      <c r="PR20">
        <v>0</v>
      </c>
      <c r="PT20" t="s">
        <v>487</v>
      </c>
      <c r="PU20" t="s">
        <v>512</v>
      </c>
      <c r="PV20">
        <v>25000</v>
      </c>
      <c r="PW20">
        <v>1000</v>
      </c>
      <c r="PX20">
        <v>26000</v>
      </c>
      <c r="PY20" t="s">
        <v>493</v>
      </c>
      <c r="PZ20" t="s">
        <v>493</v>
      </c>
      <c r="QA20">
        <v>10</v>
      </c>
      <c r="QB20">
        <v>90</v>
      </c>
      <c r="QC20">
        <v>90</v>
      </c>
      <c r="QD20">
        <v>10</v>
      </c>
      <c r="QE20" t="s">
        <v>508</v>
      </c>
      <c r="QZ20">
        <v>0</v>
      </c>
      <c r="RA20">
        <v>4</v>
      </c>
      <c r="RB20" t="s">
        <v>489</v>
      </c>
      <c r="RC20" t="s">
        <v>490</v>
      </c>
      <c r="RD20" t="s">
        <v>490</v>
      </c>
      <c r="RE20" t="s">
        <v>489</v>
      </c>
      <c r="RF20" t="s">
        <v>490</v>
      </c>
      <c r="RG20" t="s">
        <v>490</v>
      </c>
      <c r="RH20" t="s">
        <v>490</v>
      </c>
      <c r="RI20" t="s">
        <v>490</v>
      </c>
      <c r="RL20" t="s">
        <v>565</v>
      </c>
    </row>
    <row r="21" spans="1:480">
      <c r="A21">
        <v>11559</v>
      </c>
      <c r="B21" t="s">
        <v>503</v>
      </c>
      <c r="C21" t="s">
        <v>972</v>
      </c>
      <c r="D21" t="s">
        <v>518</v>
      </c>
      <c r="E21" t="s">
        <v>500</v>
      </c>
      <c r="F21" t="s">
        <v>505</v>
      </c>
      <c r="G21">
        <v>1.5</v>
      </c>
      <c r="H21" t="s">
        <v>487</v>
      </c>
      <c r="I21" t="s">
        <v>488</v>
      </c>
      <c r="J21" t="s">
        <v>488</v>
      </c>
      <c r="K21" t="s">
        <v>488</v>
      </c>
      <c r="L21" t="s">
        <v>490</v>
      </c>
      <c r="M21" t="s">
        <v>489</v>
      </c>
      <c r="N21" t="s">
        <v>490</v>
      </c>
      <c r="O21" t="s">
        <v>489</v>
      </c>
      <c r="P21" t="s">
        <v>490</v>
      </c>
      <c r="Q21" t="s">
        <v>489</v>
      </c>
      <c r="R21" t="s">
        <v>490</v>
      </c>
      <c r="S21" t="s">
        <v>490</v>
      </c>
      <c r="AX21" t="s">
        <v>490</v>
      </c>
      <c r="AY21" t="s">
        <v>490</v>
      </c>
      <c r="AZ21" t="s">
        <v>489</v>
      </c>
      <c r="BA21" t="s">
        <v>489</v>
      </c>
      <c r="BB21" t="s">
        <v>490</v>
      </c>
      <c r="BC21" t="s">
        <v>490</v>
      </c>
      <c r="BD21" t="s">
        <v>490</v>
      </c>
      <c r="BE21" t="s">
        <v>490</v>
      </c>
      <c r="BF21" t="s">
        <v>489</v>
      </c>
      <c r="BG21" t="s">
        <v>489</v>
      </c>
      <c r="BH21" t="s">
        <v>490</v>
      </c>
      <c r="BI21" t="s">
        <v>490</v>
      </c>
      <c r="BJ21" t="s">
        <v>490</v>
      </c>
      <c r="BK21" t="s">
        <v>490</v>
      </c>
      <c r="BL21" t="s">
        <v>489</v>
      </c>
      <c r="BM21" t="s">
        <v>490</v>
      </c>
      <c r="BN21" t="s">
        <v>490</v>
      </c>
      <c r="BO21" t="s">
        <v>489</v>
      </c>
      <c r="BP21" t="s">
        <v>490</v>
      </c>
      <c r="BQ21" t="s">
        <v>490</v>
      </c>
      <c r="BR21" t="s">
        <v>489</v>
      </c>
      <c r="BS21" t="s">
        <v>490</v>
      </c>
      <c r="BT21" t="s">
        <v>490</v>
      </c>
      <c r="BU21" t="s">
        <v>489</v>
      </c>
      <c r="CB21" t="s">
        <v>490</v>
      </c>
      <c r="CC21" t="s">
        <v>490</v>
      </c>
      <c r="CD21" t="s">
        <v>489</v>
      </c>
      <c r="CE21" t="s">
        <v>489</v>
      </c>
      <c r="CF21" t="s">
        <v>490</v>
      </c>
      <c r="CG21" t="s">
        <v>490</v>
      </c>
      <c r="CH21" t="s">
        <v>489</v>
      </c>
      <c r="CI21" t="s">
        <v>490</v>
      </c>
      <c r="CJ21" t="s">
        <v>490</v>
      </c>
      <c r="CK21" t="s">
        <v>489</v>
      </c>
      <c r="CL21" t="s">
        <v>490</v>
      </c>
      <c r="CM21" t="s">
        <v>490</v>
      </c>
      <c r="CN21" t="s">
        <v>490</v>
      </c>
      <c r="CO21" t="s">
        <v>490</v>
      </c>
      <c r="CP21" t="s">
        <v>489</v>
      </c>
      <c r="CW21" t="s">
        <v>489</v>
      </c>
      <c r="CX21" t="s">
        <v>490</v>
      </c>
      <c r="CY21" t="s">
        <v>490</v>
      </c>
      <c r="CZ21" t="s">
        <v>490</v>
      </c>
      <c r="DA21" t="s">
        <v>490</v>
      </c>
      <c r="DB21" t="s">
        <v>489</v>
      </c>
      <c r="DC21" t="s">
        <v>490</v>
      </c>
      <c r="DD21" t="s">
        <v>490</v>
      </c>
      <c r="DE21" t="s">
        <v>489</v>
      </c>
      <c r="DF21" t="s">
        <v>490</v>
      </c>
      <c r="DG21" t="s">
        <v>490</v>
      </c>
      <c r="DH21" t="s">
        <v>489</v>
      </c>
      <c r="EY21">
        <v>100</v>
      </c>
      <c r="EZ21">
        <v>0</v>
      </c>
      <c r="FA21">
        <v>0</v>
      </c>
      <c r="FB21" t="s">
        <v>491</v>
      </c>
      <c r="HL21">
        <v>2</v>
      </c>
      <c r="HN21">
        <v>11</v>
      </c>
      <c r="HT21">
        <v>2</v>
      </c>
      <c r="HV21">
        <v>11</v>
      </c>
      <c r="ID21">
        <v>0</v>
      </c>
      <c r="IL21">
        <v>0</v>
      </c>
      <c r="IM21">
        <v>100</v>
      </c>
      <c r="IN21">
        <v>0</v>
      </c>
      <c r="IR21">
        <v>0</v>
      </c>
      <c r="IS21">
        <v>100</v>
      </c>
      <c r="IT21">
        <v>0</v>
      </c>
      <c r="KF21">
        <v>21</v>
      </c>
      <c r="KG21">
        <v>49</v>
      </c>
      <c r="KH21">
        <v>6</v>
      </c>
      <c r="KR21">
        <v>0</v>
      </c>
      <c r="KS21">
        <v>100</v>
      </c>
      <c r="KT21">
        <v>0</v>
      </c>
      <c r="KU21">
        <v>0</v>
      </c>
      <c r="KV21">
        <v>100</v>
      </c>
      <c r="KW21">
        <v>0</v>
      </c>
      <c r="KX21">
        <v>0</v>
      </c>
      <c r="KY21">
        <v>100</v>
      </c>
      <c r="KZ21">
        <v>0</v>
      </c>
      <c r="LN21">
        <v>1</v>
      </c>
      <c r="LR21">
        <v>100</v>
      </c>
      <c r="LS21">
        <v>0</v>
      </c>
      <c r="LT21">
        <v>0</v>
      </c>
      <c r="OH21" s="15">
        <v>0</v>
      </c>
      <c r="OI21" s="15">
        <v>0</v>
      </c>
      <c r="OJ21" s="15">
        <v>0</v>
      </c>
      <c r="OK21" s="15">
        <v>0</v>
      </c>
      <c r="OL21" s="15">
        <v>0</v>
      </c>
      <c r="OM21" s="15">
        <v>0</v>
      </c>
      <c r="ON21" s="15">
        <v>0</v>
      </c>
      <c r="OO21" s="15">
        <v>0</v>
      </c>
    </row>
    <row r="22" spans="1:480">
      <c r="A22">
        <v>11557</v>
      </c>
      <c r="B22" t="s">
        <v>503</v>
      </c>
      <c r="C22" t="s">
        <v>972</v>
      </c>
      <c r="D22" t="s">
        <v>518</v>
      </c>
      <c r="E22" t="s">
        <v>500</v>
      </c>
      <c r="F22" t="s">
        <v>505</v>
      </c>
      <c r="G22">
        <v>1.4</v>
      </c>
      <c r="H22" t="s">
        <v>487</v>
      </c>
      <c r="I22" t="s">
        <v>487</v>
      </c>
      <c r="J22" t="s">
        <v>487</v>
      </c>
      <c r="K22" t="s">
        <v>488</v>
      </c>
      <c r="L22" t="s">
        <v>489</v>
      </c>
      <c r="M22" t="s">
        <v>489</v>
      </c>
      <c r="N22" t="s">
        <v>490</v>
      </c>
      <c r="O22" t="s">
        <v>489</v>
      </c>
      <c r="P22" t="s">
        <v>490</v>
      </c>
      <c r="Q22" t="s">
        <v>490</v>
      </c>
      <c r="R22" t="s">
        <v>490</v>
      </c>
      <c r="S22" t="s">
        <v>489</v>
      </c>
      <c r="T22" t="s">
        <v>489</v>
      </c>
      <c r="U22" t="s">
        <v>490</v>
      </c>
      <c r="V22" t="s">
        <v>490</v>
      </c>
      <c r="W22" t="s">
        <v>489</v>
      </c>
      <c r="X22" t="s">
        <v>490</v>
      </c>
      <c r="Y22" t="s">
        <v>490</v>
      </c>
      <c r="Z22" t="s">
        <v>490</v>
      </c>
      <c r="AA22" t="s">
        <v>490</v>
      </c>
      <c r="AB22" t="s">
        <v>489</v>
      </c>
      <c r="AC22" t="s">
        <v>490</v>
      </c>
      <c r="AD22" t="s">
        <v>490</v>
      </c>
      <c r="AE22" t="s">
        <v>489</v>
      </c>
      <c r="AF22" t="s">
        <v>489</v>
      </c>
      <c r="AG22" t="s">
        <v>490</v>
      </c>
      <c r="AH22" t="s">
        <v>490</v>
      </c>
      <c r="AI22" t="s">
        <v>489</v>
      </c>
      <c r="AJ22" t="s">
        <v>490</v>
      </c>
      <c r="AK22" t="s">
        <v>490</v>
      </c>
      <c r="AL22" t="s">
        <v>490</v>
      </c>
      <c r="AM22" t="s">
        <v>490</v>
      </c>
      <c r="AN22" t="s">
        <v>489</v>
      </c>
      <c r="AO22" t="s">
        <v>489</v>
      </c>
      <c r="AP22" t="s">
        <v>490</v>
      </c>
      <c r="AQ22" t="s">
        <v>490</v>
      </c>
      <c r="AR22" t="s">
        <v>490</v>
      </c>
      <c r="AS22" t="s">
        <v>490</v>
      </c>
      <c r="AT22" t="s">
        <v>489</v>
      </c>
      <c r="AU22" t="s">
        <v>490</v>
      </c>
      <c r="AV22" t="s">
        <v>490</v>
      </c>
      <c r="AW22" t="s">
        <v>489</v>
      </c>
      <c r="AX22" t="s">
        <v>490</v>
      </c>
      <c r="AY22" t="s">
        <v>490</v>
      </c>
      <c r="AZ22" t="s">
        <v>489</v>
      </c>
      <c r="BA22" t="s">
        <v>489</v>
      </c>
      <c r="BB22" t="s">
        <v>490</v>
      </c>
      <c r="BC22" t="s">
        <v>490</v>
      </c>
      <c r="BD22" t="s">
        <v>490</v>
      </c>
      <c r="BE22" t="s">
        <v>490</v>
      </c>
      <c r="BF22" t="s">
        <v>489</v>
      </c>
      <c r="BG22" t="s">
        <v>490</v>
      </c>
      <c r="BH22" t="s">
        <v>490</v>
      </c>
      <c r="BI22" t="s">
        <v>489</v>
      </c>
      <c r="BJ22" t="s">
        <v>489</v>
      </c>
      <c r="BK22" t="s">
        <v>489</v>
      </c>
      <c r="BL22" t="s">
        <v>490</v>
      </c>
      <c r="BM22" t="s">
        <v>490</v>
      </c>
      <c r="BN22" t="s">
        <v>490</v>
      </c>
      <c r="BO22" t="s">
        <v>489</v>
      </c>
      <c r="BP22" t="s">
        <v>490</v>
      </c>
      <c r="BQ22" t="s">
        <v>490</v>
      </c>
      <c r="BR22" t="s">
        <v>489</v>
      </c>
      <c r="BS22" t="s">
        <v>490</v>
      </c>
      <c r="BT22" t="s">
        <v>490</v>
      </c>
      <c r="BU22" t="s">
        <v>489</v>
      </c>
      <c r="CB22" t="s">
        <v>490</v>
      </c>
      <c r="CC22" t="s">
        <v>490</v>
      </c>
      <c r="CD22" t="s">
        <v>489</v>
      </c>
      <c r="CE22" t="s">
        <v>490</v>
      </c>
      <c r="CF22" t="s">
        <v>490</v>
      </c>
      <c r="CG22" t="s">
        <v>489</v>
      </c>
      <c r="CH22" t="s">
        <v>489</v>
      </c>
      <c r="CI22" t="s">
        <v>489</v>
      </c>
      <c r="CJ22" t="s">
        <v>490</v>
      </c>
      <c r="CK22" t="s">
        <v>490</v>
      </c>
      <c r="CL22" t="s">
        <v>490</v>
      </c>
      <c r="CM22" t="s">
        <v>489</v>
      </c>
      <c r="CN22" t="s">
        <v>490</v>
      </c>
      <c r="CO22" t="s">
        <v>490</v>
      </c>
      <c r="CP22" t="s">
        <v>489</v>
      </c>
      <c r="EA22" t="s">
        <v>490</v>
      </c>
      <c r="EB22" t="s">
        <v>489</v>
      </c>
      <c r="EC22" t="s">
        <v>490</v>
      </c>
      <c r="ED22" t="s">
        <v>490</v>
      </c>
      <c r="EE22" t="s">
        <v>490</v>
      </c>
      <c r="EF22" t="s">
        <v>489</v>
      </c>
      <c r="EG22" t="s">
        <v>490</v>
      </c>
      <c r="EH22" t="s">
        <v>490</v>
      </c>
      <c r="EI22" t="s">
        <v>489</v>
      </c>
      <c r="EJ22" t="s">
        <v>490</v>
      </c>
      <c r="EK22" t="s">
        <v>489</v>
      </c>
      <c r="EL22" t="s">
        <v>490</v>
      </c>
      <c r="EM22" t="s">
        <v>490</v>
      </c>
      <c r="EN22" t="s">
        <v>490</v>
      </c>
      <c r="EO22" t="s">
        <v>489</v>
      </c>
      <c r="EP22" t="s">
        <v>490</v>
      </c>
      <c r="EQ22" t="s">
        <v>490</v>
      </c>
      <c r="ER22" t="s">
        <v>489</v>
      </c>
      <c r="ES22" t="s">
        <v>490</v>
      </c>
      <c r="ET22" t="s">
        <v>489</v>
      </c>
      <c r="EU22" t="s">
        <v>490</v>
      </c>
      <c r="EV22" t="s">
        <v>490</v>
      </c>
      <c r="EW22" t="s">
        <v>490</v>
      </c>
      <c r="EX22" t="s">
        <v>489</v>
      </c>
      <c r="EY22">
        <v>100</v>
      </c>
      <c r="EZ22">
        <v>70</v>
      </c>
      <c r="FA22">
        <v>30</v>
      </c>
      <c r="FB22" t="s">
        <v>491</v>
      </c>
      <c r="FC22">
        <v>0</v>
      </c>
      <c r="FE22">
        <v>300</v>
      </c>
      <c r="FK22">
        <v>1000</v>
      </c>
      <c r="FM22">
        <v>0</v>
      </c>
      <c r="FQ22">
        <v>0</v>
      </c>
      <c r="GG22">
        <v>0</v>
      </c>
      <c r="GH22">
        <v>0</v>
      </c>
      <c r="GI22">
        <v>100</v>
      </c>
      <c r="GJ22">
        <v>0</v>
      </c>
      <c r="GK22">
        <v>0</v>
      </c>
      <c r="GL22">
        <v>100</v>
      </c>
      <c r="GS22">
        <v>0</v>
      </c>
      <c r="GT22">
        <v>0</v>
      </c>
      <c r="GU22">
        <v>100</v>
      </c>
      <c r="GV22">
        <v>0</v>
      </c>
      <c r="GW22">
        <v>0</v>
      </c>
      <c r="GX22">
        <v>100</v>
      </c>
      <c r="HB22">
        <v>0</v>
      </c>
      <c r="HC22">
        <v>0</v>
      </c>
      <c r="HD22">
        <v>100</v>
      </c>
      <c r="HL22">
        <v>10</v>
      </c>
      <c r="HO22">
        <v>2500</v>
      </c>
      <c r="HT22">
        <v>10</v>
      </c>
      <c r="HW22">
        <v>2500</v>
      </c>
      <c r="IE22">
        <v>0</v>
      </c>
      <c r="IL22">
        <v>0</v>
      </c>
      <c r="IM22">
        <v>100</v>
      </c>
      <c r="IN22">
        <v>0</v>
      </c>
      <c r="IU22">
        <v>70</v>
      </c>
      <c r="IV22">
        <v>30</v>
      </c>
      <c r="IW22">
        <v>0</v>
      </c>
      <c r="KG22">
        <v>500</v>
      </c>
      <c r="KL22">
        <v>500</v>
      </c>
      <c r="KU22">
        <v>0</v>
      </c>
      <c r="KV22">
        <v>0</v>
      </c>
      <c r="KW22">
        <v>100</v>
      </c>
      <c r="MZ22">
        <v>150</v>
      </c>
      <c r="NC22">
        <v>0</v>
      </c>
      <c r="NG22">
        <v>150</v>
      </c>
      <c r="NH22">
        <v>0</v>
      </c>
      <c r="NK22">
        <v>0</v>
      </c>
      <c r="NN22">
        <v>0</v>
      </c>
      <c r="OH22" s="15">
        <v>7</v>
      </c>
      <c r="OI22" s="15">
        <v>6</v>
      </c>
      <c r="OJ22" s="15">
        <v>6</v>
      </c>
      <c r="OK22" s="15">
        <v>4</v>
      </c>
      <c r="OL22" s="15">
        <v>8</v>
      </c>
      <c r="OM22" s="15">
        <v>1</v>
      </c>
      <c r="ON22" s="15">
        <v>7</v>
      </c>
      <c r="OO22" s="15">
        <v>9</v>
      </c>
      <c r="OQ22" t="s">
        <v>487</v>
      </c>
      <c r="OR22" t="s">
        <v>488</v>
      </c>
      <c r="OY22">
        <v>100</v>
      </c>
      <c r="OZ22">
        <v>100</v>
      </c>
      <c r="PA22">
        <v>0</v>
      </c>
      <c r="PB22">
        <v>0</v>
      </c>
      <c r="PC22">
        <v>0</v>
      </c>
      <c r="PD22">
        <v>0</v>
      </c>
      <c r="PE22">
        <v>2</v>
      </c>
      <c r="PF22">
        <v>0</v>
      </c>
      <c r="PG22">
        <v>0</v>
      </c>
      <c r="PH22">
        <v>0</v>
      </c>
      <c r="PI22">
        <v>100</v>
      </c>
      <c r="PJ22">
        <v>100</v>
      </c>
      <c r="PK22">
        <v>0</v>
      </c>
      <c r="PL22">
        <v>0</v>
      </c>
      <c r="PM22">
        <v>0</v>
      </c>
      <c r="PN22">
        <v>0</v>
      </c>
      <c r="PO22">
        <v>0</v>
      </c>
      <c r="PP22">
        <v>0</v>
      </c>
      <c r="PQ22">
        <v>0</v>
      </c>
      <c r="PR22">
        <v>0</v>
      </c>
      <c r="PT22" t="s">
        <v>487</v>
      </c>
      <c r="PU22" t="s">
        <v>497</v>
      </c>
      <c r="PV22">
        <v>0</v>
      </c>
      <c r="PW22">
        <v>0</v>
      </c>
      <c r="PX22">
        <v>0</v>
      </c>
      <c r="PY22" t="s">
        <v>493</v>
      </c>
      <c r="PZ22" t="s">
        <v>493</v>
      </c>
      <c r="QA22">
        <v>75</v>
      </c>
      <c r="QB22">
        <v>25</v>
      </c>
      <c r="QC22">
        <v>100</v>
      </c>
      <c r="QD22">
        <v>0</v>
      </c>
      <c r="QE22" t="s">
        <v>508</v>
      </c>
      <c r="QZ22">
        <v>0.2</v>
      </c>
      <c r="RA22">
        <v>0.2</v>
      </c>
      <c r="RB22" t="s">
        <v>489</v>
      </c>
      <c r="RC22" t="s">
        <v>490</v>
      </c>
      <c r="RD22" t="s">
        <v>490</v>
      </c>
      <c r="RE22" t="s">
        <v>490</v>
      </c>
      <c r="RF22" t="s">
        <v>489</v>
      </c>
      <c r="RG22" t="s">
        <v>490</v>
      </c>
      <c r="RH22" t="s">
        <v>490</v>
      </c>
      <c r="RI22" t="s">
        <v>490</v>
      </c>
      <c r="RL22" t="s">
        <v>600</v>
      </c>
    </row>
    <row r="23" spans="1:480">
      <c r="A23">
        <v>11529</v>
      </c>
      <c r="B23" t="s">
        <v>503</v>
      </c>
      <c r="C23" t="s">
        <v>972</v>
      </c>
      <c r="D23" t="s">
        <v>518</v>
      </c>
      <c r="E23" t="s">
        <v>500</v>
      </c>
      <c r="F23" t="s">
        <v>509</v>
      </c>
      <c r="G23">
        <v>5</v>
      </c>
      <c r="H23" t="s">
        <v>487</v>
      </c>
      <c r="I23" t="s">
        <v>487</v>
      </c>
      <c r="J23" t="s">
        <v>519</v>
      </c>
      <c r="K23" t="s">
        <v>487</v>
      </c>
      <c r="L23" t="s">
        <v>489</v>
      </c>
      <c r="M23" t="s">
        <v>489</v>
      </c>
      <c r="N23" t="s">
        <v>489</v>
      </c>
      <c r="O23" t="s">
        <v>489</v>
      </c>
      <c r="P23" t="s">
        <v>490</v>
      </c>
      <c r="Q23" t="s">
        <v>489</v>
      </c>
      <c r="R23" t="s">
        <v>489</v>
      </c>
      <c r="S23" t="s">
        <v>489</v>
      </c>
      <c r="T23" t="s">
        <v>489</v>
      </c>
      <c r="U23" t="s">
        <v>489</v>
      </c>
      <c r="V23" t="s">
        <v>490</v>
      </c>
      <c r="W23" t="s">
        <v>489</v>
      </c>
      <c r="X23" t="s">
        <v>489</v>
      </c>
      <c r="Y23" t="s">
        <v>490</v>
      </c>
      <c r="Z23" t="s">
        <v>490</v>
      </c>
      <c r="AA23" t="s">
        <v>490</v>
      </c>
      <c r="AB23" t="s">
        <v>489</v>
      </c>
      <c r="AC23" t="s">
        <v>489</v>
      </c>
      <c r="AD23" t="s">
        <v>489</v>
      </c>
      <c r="AE23" t="s">
        <v>490</v>
      </c>
      <c r="AF23" t="s">
        <v>489</v>
      </c>
      <c r="AG23" t="s">
        <v>489</v>
      </c>
      <c r="AH23" t="s">
        <v>490</v>
      </c>
      <c r="AI23" t="s">
        <v>489</v>
      </c>
      <c r="AJ23" t="s">
        <v>489</v>
      </c>
      <c r="AK23" t="s">
        <v>490</v>
      </c>
      <c r="AL23" t="s">
        <v>490</v>
      </c>
      <c r="AM23" t="s">
        <v>490</v>
      </c>
      <c r="AN23" t="s">
        <v>489</v>
      </c>
      <c r="AO23" t="s">
        <v>489</v>
      </c>
      <c r="AP23" t="s">
        <v>490</v>
      </c>
      <c r="AQ23" t="s">
        <v>490</v>
      </c>
      <c r="AR23" t="s">
        <v>490</v>
      </c>
      <c r="AS23" t="s">
        <v>490</v>
      </c>
      <c r="AT23" t="s">
        <v>489</v>
      </c>
      <c r="AU23" t="s">
        <v>489</v>
      </c>
      <c r="AV23" t="s">
        <v>489</v>
      </c>
      <c r="AW23" t="s">
        <v>490</v>
      </c>
      <c r="AX23" t="s">
        <v>489</v>
      </c>
      <c r="AY23" t="s">
        <v>489</v>
      </c>
      <c r="AZ23" t="s">
        <v>490</v>
      </c>
      <c r="BA23" t="s">
        <v>490</v>
      </c>
      <c r="BB23" t="s">
        <v>490</v>
      </c>
      <c r="BC23" t="s">
        <v>489</v>
      </c>
      <c r="BD23" t="s">
        <v>489</v>
      </c>
      <c r="BE23" t="s">
        <v>490</v>
      </c>
      <c r="BF23" t="s">
        <v>490</v>
      </c>
      <c r="BG23" t="s">
        <v>489</v>
      </c>
      <c r="BH23" t="s">
        <v>489</v>
      </c>
      <c r="BI23" t="s">
        <v>490</v>
      </c>
      <c r="BJ23" t="s">
        <v>489</v>
      </c>
      <c r="BK23" t="s">
        <v>489</v>
      </c>
      <c r="BL23" t="s">
        <v>490</v>
      </c>
      <c r="BM23" t="s">
        <v>489</v>
      </c>
      <c r="BN23" t="s">
        <v>490</v>
      </c>
      <c r="BO23" t="s">
        <v>490</v>
      </c>
      <c r="BP23" t="s">
        <v>490</v>
      </c>
      <c r="BQ23" t="s">
        <v>490</v>
      </c>
      <c r="BR23" t="s">
        <v>489</v>
      </c>
      <c r="BS23" t="s">
        <v>489</v>
      </c>
      <c r="BT23" t="s">
        <v>490</v>
      </c>
      <c r="BU23" t="s">
        <v>490</v>
      </c>
      <c r="BV23" t="s">
        <v>489</v>
      </c>
      <c r="BW23" t="s">
        <v>489</v>
      </c>
      <c r="BX23" t="s">
        <v>490</v>
      </c>
      <c r="BY23" t="s">
        <v>489</v>
      </c>
      <c r="BZ23" t="s">
        <v>489</v>
      </c>
      <c r="CA23" t="s">
        <v>490</v>
      </c>
      <c r="CB23" t="s">
        <v>490</v>
      </c>
      <c r="CC23" t="s">
        <v>490</v>
      </c>
      <c r="CD23" t="s">
        <v>489</v>
      </c>
      <c r="CE23" t="s">
        <v>490</v>
      </c>
      <c r="CF23" t="s">
        <v>490</v>
      </c>
      <c r="CG23" t="s">
        <v>489</v>
      </c>
      <c r="CH23" t="s">
        <v>489</v>
      </c>
      <c r="CI23" t="s">
        <v>489</v>
      </c>
      <c r="CJ23" t="s">
        <v>490</v>
      </c>
      <c r="CK23" t="s">
        <v>489</v>
      </c>
      <c r="CL23" t="s">
        <v>489</v>
      </c>
      <c r="CM23" t="s">
        <v>490</v>
      </c>
      <c r="CN23" t="s">
        <v>489</v>
      </c>
      <c r="CO23" t="s">
        <v>489</v>
      </c>
      <c r="CP23" t="s">
        <v>490</v>
      </c>
      <c r="CW23" t="s">
        <v>490</v>
      </c>
      <c r="CX23" t="s">
        <v>489</v>
      </c>
      <c r="CY23" t="s">
        <v>490</v>
      </c>
      <c r="CZ23" t="s">
        <v>490</v>
      </c>
      <c r="DA23" t="s">
        <v>490</v>
      </c>
      <c r="DB23" t="s">
        <v>489</v>
      </c>
      <c r="DC23" t="s">
        <v>490</v>
      </c>
      <c r="DD23" t="s">
        <v>490</v>
      </c>
      <c r="DE23" t="s">
        <v>489</v>
      </c>
      <c r="DF23" t="s">
        <v>490</v>
      </c>
      <c r="DG23" t="s">
        <v>489</v>
      </c>
      <c r="DH23" t="s">
        <v>490</v>
      </c>
      <c r="DI23" t="s">
        <v>489</v>
      </c>
      <c r="DJ23" t="s">
        <v>489</v>
      </c>
      <c r="DK23" t="s">
        <v>490</v>
      </c>
      <c r="DL23" t="s">
        <v>489</v>
      </c>
      <c r="DM23" t="s">
        <v>489</v>
      </c>
      <c r="DN23" t="s">
        <v>490</v>
      </c>
      <c r="DO23" t="s">
        <v>490</v>
      </c>
      <c r="DP23" t="s">
        <v>490</v>
      </c>
      <c r="DQ23" t="s">
        <v>489</v>
      </c>
      <c r="DR23" t="s">
        <v>489</v>
      </c>
      <c r="DS23" t="s">
        <v>489</v>
      </c>
      <c r="DT23" t="s">
        <v>490</v>
      </c>
      <c r="DU23" t="s">
        <v>489</v>
      </c>
      <c r="DV23" t="s">
        <v>489</v>
      </c>
      <c r="DW23" t="s">
        <v>490</v>
      </c>
      <c r="DX23" t="s">
        <v>490</v>
      </c>
      <c r="DY23" t="s">
        <v>490</v>
      </c>
      <c r="DZ23" t="s">
        <v>489</v>
      </c>
      <c r="EA23" t="s">
        <v>490</v>
      </c>
      <c r="EB23" t="s">
        <v>489</v>
      </c>
      <c r="EC23" t="s">
        <v>490</v>
      </c>
      <c r="ED23" t="s">
        <v>490</v>
      </c>
      <c r="EE23" t="s">
        <v>490</v>
      </c>
      <c r="EF23" t="s">
        <v>489</v>
      </c>
      <c r="EG23" t="s">
        <v>490</v>
      </c>
      <c r="EH23" t="s">
        <v>490</v>
      </c>
      <c r="EI23" t="s">
        <v>489</v>
      </c>
      <c r="EJ23" t="s">
        <v>490</v>
      </c>
      <c r="EK23" t="s">
        <v>490</v>
      </c>
      <c r="EL23" t="s">
        <v>489</v>
      </c>
      <c r="EM23" t="s">
        <v>490</v>
      </c>
      <c r="EN23" t="s">
        <v>490</v>
      </c>
      <c r="EO23" t="s">
        <v>489</v>
      </c>
      <c r="EP23" t="s">
        <v>490</v>
      </c>
      <c r="EQ23" t="s">
        <v>490</v>
      </c>
      <c r="ER23" t="s">
        <v>489</v>
      </c>
      <c r="ES23" t="s">
        <v>490</v>
      </c>
      <c r="ET23" t="s">
        <v>490</v>
      </c>
      <c r="EU23" t="s">
        <v>489</v>
      </c>
      <c r="EV23" t="s">
        <v>490</v>
      </c>
      <c r="EW23" t="s">
        <v>490</v>
      </c>
      <c r="EX23" t="s">
        <v>489</v>
      </c>
      <c r="EY23">
        <v>10</v>
      </c>
      <c r="EZ23">
        <v>95</v>
      </c>
      <c r="FA23">
        <v>5</v>
      </c>
      <c r="FB23" t="s">
        <v>491</v>
      </c>
      <c r="FC23">
        <v>5</v>
      </c>
      <c r="FD23">
        <v>5</v>
      </c>
      <c r="FE23">
        <v>900</v>
      </c>
      <c r="FF23">
        <v>850</v>
      </c>
      <c r="FI23">
        <v>1750</v>
      </c>
      <c r="FJ23">
        <v>1700</v>
      </c>
      <c r="FM23">
        <v>160</v>
      </c>
      <c r="FN23">
        <v>150</v>
      </c>
      <c r="GG23">
        <v>100</v>
      </c>
      <c r="GH23">
        <v>0</v>
      </c>
      <c r="GI23">
        <v>0</v>
      </c>
      <c r="GJ23">
        <v>90</v>
      </c>
      <c r="GK23">
        <v>10</v>
      </c>
      <c r="GL23">
        <v>0</v>
      </c>
      <c r="GP23">
        <v>97</v>
      </c>
      <c r="GQ23">
        <v>3</v>
      </c>
      <c r="GR23">
        <v>0</v>
      </c>
      <c r="GV23">
        <v>93</v>
      </c>
      <c r="GW23">
        <v>7</v>
      </c>
      <c r="GX23">
        <v>0</v>
      </c>
      <c r="OH23" s="15">
        <v>0</v>
      </c>
      <c r="OI23" s="15">
        <v>0</v>
      </c>
      <c r="OJ23" s="15">
        <v>0</v>
      </c>
      <c r="OK23" s="15">
        <v>0</v>
      </c>
      <c r="OL23" s="15">
        <v>0</v>
      </c>
      <c r="OM23" s="15">
        <v>0</v>
      </c>
      <c r="ON23" s="15">
        <v>0</v>
      </c>
      <c r="OO23" s="15">
        <v>0</v>
      </c>
    </row>
    <row r="24" spans="1:480">
      <c r="A24">
        <v>11771</v>
      </c>
      <c r="B24" t="s">
        <v>503</v>
      </c>
      <c r="C24" t="s">
        <v>972</v>
      </c>
      <c r="D24" t="s">
        <v>518</v>
      </c>
      <c r="E24" t="s">
        <v>500</v>
      </c>
      <c r="F24" t="s">
        <v>545</v>
      </c>
      <c r="G24">
        <v>0</v>
      </c>
      <c r="H24" t="s">
        <v>487</v>
      </c>
      <c r="I24" t="s">
        <v>487</v>
      </c>
      <c r="J24" t="s">
        <v>487</v>
      </c>
      <c r="K24" t="s">
        <v>488</v>
      </c>
      <c r="L24" t="s">
        <v>489</v>
      </c>
      <c r="M24" t="s">
        <v>489</v>
      </c>
      <c r="N24" t="s">
        <v>489</v>
      </c>
      <c r="O24" t="s">
        <v>489</v>
      </c>
      <c r="P24" t="s">
        <v>490</v>
      </c>
      <c r="Q24" t="s">
        <v>489</v>
      </c>
      <c r="R24" t="s">
        <v>489</v>
      </c>
      <c r="S24" t="s">
        <v>490</v>
      </c>
      <c r="T24" t="s">
        <v>490</v>
      </c>
      <c r="U24" t="s">
        <v>490</v>
      </c>
      <c r="V24" t="s">
        <v>489</v>
      </c>
      <c r="W24" t="s">
        <v>489</v>
      </c>
      <c r="X24" t="s">
        <v>490</v>
      </c>
      <c r="Y24" t="s">
        <v>490</v>
      </c>
      <c r="Z24" t="s">
        <v>490</v>
      </c>
      <c r="AA24" t="s">
        <v>490</v>
      </c>
      <c r="AB24" t="s">
        <v>489</v>
      </c>
      <c r="AC24" t="s">
        <v>490</v>
      </c>
      <c r="AD24" t="s">
        <v>490</v>
      </c>
      <c r="AE24" t="s">
        <v>489</v>
      </c>
      <c r="AF24" t="s">
        <v>490</v>
      </c>
      <c r="AG24" t="s">
        <v>490</v>
      </c>
      <c r="AH24" t="s">
        <v>489</v>
      </c>
      <c r="AI24" t="s">
        <v>489</v>
      </c>
      <c r="AJ24" t="s">
        <v>490</v>
      </c>
      <c r="AK24" t="s">
        <v>490</v>
      </c>
      <c r="AL24" t="s">
        <v>490</v>
      </c>
      <c r="AM24" t="s">
        <v>490</v>
      </c>
      <c r="AN24" t="s">
        <v>489</v>
      </c>
      <c r="AO24" t="s">
        <v>490</v>
      </c>
      <c r="AP24" t="s">
        <v>490</v>
      </c>
      <c r="AQ24" t="s">
        <v>489</v>
      </c>
      <c r="AR24" t="s">
        <v>490</v>
      </c>
      <c r="AS24" t="s">
        <v>490</v>
      </c>
      <c r="AT24" t="s">
        <v>489</v>
      </c>
      <c r="AU24" t="s">
        <v>490</v>
      </c>
      <c r="AV24" t="s">
        <v>490</v>
      </c>
      <c r="AW24" t="s">
        <v>489</v>
      </c>
      <c r="AX24" t="s">
        <v>490</v>
      </c>
      <c r="AY24" t="s">
        <v>490</v>
      </c>
      <c r="AZ24" t="s">
        <v>489</v>
      </c>
      <c r="BA24" t="s">
        <v>490</v>
      </c>
      <c r="BB24" t="s">
        <v>490</v>
      </c>
      <c r="BC24" t="s">
        <v>489</v>
      </c>
      <c r="BD24" t="s">
        <v>490</v>
      </c>
      <c r="BE24" t="s">
        <v>490</v>
      </c>
      <c r="BF24" t="s">
        <v>489</v>
      </c>
      <c r="BG24" t="s">
        <v>490</v>
      </c>
      <c r="BH24" t="s">
        <v>490</v>
      </c>
      <c r="BI24" t="s">
        <v>489</v>
      </c>
      <c r="BJ24" t="s">
        <v>489</v>
      </c>
      <c r="BK24" t="s">
        <v>489</v>
      </c>
      <c r="BL24" t="s">
        <v>490</v>
      </c>
      <c r="BM24" t="s">
        <v>490</v>
      </c>
      <c r="BN24" t="s">
        <v>490</v>
      </c>
      <c r="BO24" t="s">
        <v>489</v>
      </c>
      <c r="BP24" t="s">
        <v>490</v>
      </c>
      <c r="BQ24" t="s">
        <v>490</v>
      </c>
      <c r="BR24" t="s">
        <v>489</v>
      </c>
      <c r="BS24" t="s">
        <v>490</v>
      </c>
      <c r="BT24" t="s">
        <v>490</v>
      </c>
      <c r="BU24" t="s">
        <v>489</v>
      </c>
      <c r="BV24" t="s">
        <v>490</v>
      </c>
      <c r="BW24" t="s">
        <v>490</v>
      </c>
      <c r="BX24" t="s">
        <v>489</v>
      </c>
      <c r="BY24" t="s">
        <v>489</v>
      </c>
      <c r="BZ24" t="s">
        <v>490</v>
      </c>
      <c r="CA24" t="s">
        <v>490</v>
      </c>
      <c r="CB24" t="s">
        <v>489</v>
      </c>
      <c r="CC24" t="s">
        <v>490</v>
      </c>
      <c r="CD24" t="s">
        <v>490</v>
      </c>
      <c r="CE24" t="s">
        <v>489</v>
      </c>
      <c r="CF24" t="s">
        <v>490</v>
      </c>
      <c r="CG24" t="s">
        <v>490</v>
      </c>
      <c r="CH24" t="s">
        <v>489</v>
      </c>
      <c r="CI24" t="s">
        <v>490</v>
      </c>
      <c r="CJ24" t="s">
        <v>490</v>
      </c>
      <c r="CK24" t="s">
        <v>489</v>
      </c>
      <c r="CL24" t="s">
        <v>490</v>
      </c>
      <c r="CM24" t="s">
        <v>490</v>
      </c>
      <c r="CN24" t="s">
        <v>489</v>
      </c>
      <c r="CO24" t="s">
        <v>490</v>
      </c>
      <c r="CP24" t="s">
        <v>490</v>
      </c>
      <c r="CW24" t="s">
        <v>490</v>
      </c>
      <c r="CX24" t="s">
        <v>490</v>
      </c>
      <c r="CY24" t="s">
        <v>489</v>
      </c>
      <c r="CZ24" t="s">
        <v>490</v>
      </c>
      <c r="DA24" t="s">
        <v>490</v>
      </c>
      <c r="DB24" t="s">
        <v>489</v>
      </c>
      <c r="DC24" t="s">
        <v>490</v>
      </c>
      <c r="DD24" t="s">
        <v>490</v>
      </c>
      <c r="DE24" t="s">
        <v>489</v>
      </c>
      <c r="DF24" t="s">
        <v>489</v>
      </c>
      <c r="DG24" t="s">
        <v>490</v>
      </c>
      <c r="DH24" t="s">
        <v>490</v>
      </c>
      <c r="DI24" t="s">
        <v>490</v>
      </c>
      <c r="DJ24" t="s">
        <v>490</v>
      </c>
      <c r="DK24" t="s">
        <v>489</v>
      </c>
      <c r="DL24" t="s">
        <v>490</v>
      </c>
      <c r="DM24" t="s">
        <v>490</v>
      </c>
      <c r="DN24" t="s">
        <v>489</v>
      </c>
      <c r="DO24" t="s">
        <v>490</v>
      </c>
      <c r="DP24" t="s">
        <v>490</v>
      </c>
      <c r="DQ24" t="s">
        <v>489</v>
      </c>
      <c r="DR24" t="s">
        <v>489</v>
      </c>
      <c r="DS24" t="s">
        <v>490</v>
      </c>
      <c r="DT24" t="s">
        <v>490</v>
      </c>
      <c r="DU24" t="s">
        <v>489</v>
      </c>
      <c r="DV24" t="s">
        <v>490</v>
      </c>
      <c r="DW24" t="s">
        <v>490</v>
      </c>
      <c r="DX24" t="s">
        <v>490</v>
      </c>
      <c r="DY24" t="s">
        <v>490</v>
      </c>
      <c r="DZ24" t="s">
        <v>489</v>
      </c>
      <c r="EY24">
        <v>100</v>
      </c>
      <c r="EZ24">
        <v>5</v>
      </c>
      <c r="FA24">
        <v>95</v>
      </c>
      <c r="FB24" t="s">
        <v>491</v>
      </c>
      <c r="FE24">
        <v>350</v>
      </c>
      <c r="FF24">
        <v>350</v>
      </c>
      <c r="FM24">
        <v>20</v>
      </c>
      <c r="FN24">
        <v>20</v>
      </c>
      <c r="GJ24">
        <v>0</v>
      </c>
      <c r="GK24">
        <v>0</v>
      </c>
      <c r="GL24">
        <v>100</v>
      </c>
      <c r="GV24">
        <v>0</v>
      </c>
      <c r="GW24">
        <v>0</v>
      </c>
      <c r="GX24">
        <v>100</v>
      </c>
      <c r="OH24" s="15">
        <v>0</v>
      </c>
      <c r="OI24" s="15">
        <v>0</v>
      </c>
      <c r="OJ24" s="15">
        <v>0</v>
      </c>
      <c r="OK24" s="15">
        <v>0</v>
      </c>
      <c r="OL24" s="15">
        <v>0</v>
      </c>
      <c r="OM24" s="15">
        <v>0</v>
      </c>
      <c r="ON24" s="15">
        <v>0</v>
      </c>
      <c r="OO24" s="15">
        <v>0</v>
      </c>
    </row>
    <row r="25" spans="1:480">
      <c r="A25">
        <v>1003455</v>
      </c>
      <c r="B25" t="s">
        <v>503</v>
      </c>
      <c r="C25" t="s">
        <v>972</v>
      </c>
      <c r="D25" t="s">
        <v>518</v>
      </c>
      <c r="E25" t="s">
        <v>500</v>
      </c>
      <c r="F25" t="s">
        <v>517</v>
      </c>
      <c r="G25">
        <v>0</v>
      </c>
      <c r="H25" t="s">
        <v>487</v>
      </c>
      <c r="I25" t="s">
        <v>487</v>
      </c>
      <c r="J25" t="s">
        <v>487</v>
      </c>
      <c r="K25" t="s">
        <v>519</v>
      </c>
      <c r="L25" t="s">
        <v>489</v>
      </c>
      <c r="M25" t="s">
        <v>489</v>
      </c>
      <c r="N25" t="s">
        <v>489</v>
      </c>
      <c r="O25" t="s">
        <v>489</v>
      </c>
      <c r="P25" t="s">
        <v>490</v>
      </c>
      <c r="Q25" t="s">
        <v>489</v>
      </c>
      <c r="R25" t="s">
        <v>490</v>
      </c>
      <c r="S25" t="s">
        <v>489</v>
      </c>
      <c r="T25" t="s">
        <v>489</v>
      </c>
      <c r="U25" t="s">
        <v>489</v>
      </c>
      <c r="V25" t="s">
        <v>490</v>
      </c>
      <c r="W25" t="s">
        <v>489</v>
      </c>
      <c r="X25" t="s">
        <v>489</v>
      </c>
      <c r="Y25" t="s">
        <v>490</v>
      </c>
      <c r="Z25" t="s">
        <v>490</v>
      </c>
      <c r="AA25" t="s">
        <v>490</v>
      </c>
      <c r="AB25" t="s">
        <v>489</v>
      </c>
      <c r="AC25" t="s">
        <v>489</v>
      </c>
      <c r="AD25" t="s">
        <v>489</v>
      </c>
      <c r="AE25" t="s">
        <v>490</v>
      </c>
      <c r="AF25" t="s">
        <v>490</v>
      </c>
      <c r="AG25" t="s">
        <v>490</v>
      </c>
      <c r="AH25" t="s">
        <v>489</v>
      </c>
      <c r="AI25" t="s">
        <v>489</v>
      </c>
      <c r="AJ25" t="s">
        <v>490</v>
      </c>
      <c r="AK25" t="s">
        <v>490</v>
      </c>
      <c r="AL25" t="s">
        <v>490</v>
      </c>
      <c r="AM25" t="s">
        <v>490</v>
      </c>
      <c r="AN25" t="s">
        <v>489</v>
      </c>
      <c r="AO25" t="s">
        <v>490</v>
      </c>
      <c r="AP25" t="s">
        <v>490</v>
      </c>
      <c r="AQ25" t="s">
        <v>489</v>
      </c>
      <c r="AR25" t="s">
        <v>490</v>
      </c>
      <c r="AS25" t="s">
        <v>490</v>
      </c>
      <c r="AT25" t="s">
        <v>489</v>
      </c>
      <c r="AU25" t="s">
        <v>489</v>
      </c>
      <c r="AV25" t="s">
        <v>489</v>
      </c>
      <c r="AW25" t="s">
        <v>490</v>
      </c>
      <c r="AX25" t="s">
        <v>489</v>
      </c>
      <c r="AY25" t="s">
        <v>490</v>
      </c>
      <c r="AZ25" t="s">
        <v>490</v>
      </c>
      <c r="BA25" t="s">
        <v>490</v>
      </c>
      <c r="BB25" t="s">
        <v>490</v>
      </c>
      <c r="BC25" t="s">
        <v>489</v>
      </c>
      <c r="BD25" t="s">
        <v>490</v>
      </c>
      <c r="BE25" t="s">
        <v>490</v>
      </c>
      <c r="BF25" t="s">
        <v>489</v>
      </c>
      <c r="BG25" t="s">
        <v>490</v>
      </c>
      <c r="BH25" t="s">
        <v>490</v>
      </c>
      <c r="BI25" t="s">
        <v>489</v>
      </c>
      <c r="BJ25" t="s">
        <v>489</v>
      </c>
      <c r="BK25" t="s">
        <v>489</v>
      </c>
      <c r="BL25" t="s">
        <v>490</v>
      </c>
      <c r="BM25" t="s">
        <v>490</v>
      </c>
      <c r="BN25" t="s">
        <v>490</v>
      </c>
      <c r="BO25" t="s">
        <v>489</v>
      </c>
      <c r="BP25" t="s">
        <v>490</v>
      </c>
      <c r="BQ25" t="s">
        <v>490</v>
      </c>
      <c r="BR25" t="s">
        <v>489</v>
      </c>
      <c r="BS25" t="s">
        <v>490</v>
      </c>
      <c r="BT25" t="s">
        <v>490</v>
      </c>
      <c r="BU25" t="s">
        <v>489</v>
      </c>
      <c r="BV25" t="s">
        <v>490</v>
      </c>
      <c r="BW25" t="s">
        <v>490</v>
      </c>
      <c r="BX25" t="s">
        <v>489</v>
      </c>
      <c r="BY25" t="s">
        <v>490</v>
      </c>
      <c r="BZ25" t="s">
        <v>490</v>
      </c>
      <c r="CA25" t="s">
        <v>489</v>
      </c>
      <c r="CB25" t="s">
        <v>490</v>
      </c>
      <c r="CC25" t="s">
        <v>490</v>
      </c>
      <c r="CD25" t="s">
        <v>489</v>
      </c>
      <c r="CE25" t="s">
        <v>490</v>
      </c>
      <c r="CF25" t="s">
        <v>490</v>
      </c>
      <c r="CG25" t="s">
        <v>489</v>
      </c>
      <c r="CH25" t="s">
        <v>489</v>
      </c>
      <c r="CI25" t="s">
        <v>490</v>
      </c>
      <c r="CJ25" t="s">
        <v>490</v>
      </c>
      <c r="CK25" t="s">
        <v>489</v>
      </c>
      <c r="CL25" t="s">
        <v>490</v>
      </c>
      <c r="CM25" t="s">
        <v>490</v>
      </c>
      <c r="CN25" t="s">
        <v>489</v>
      </c>
      <c r="CO25" t="s">
        <v>490</v>
      </c>
      <c r="CP25" t="s">
        <v>490</v>
      </c>
      <c r="CW25" t="s">
        <v>490</v>
      </c>
      <c r="CX25" t="s">
        <v>490</v>
      </c>
      <c r="CY25" t="s">
        <v>489</v>
      </c>
      <c r="CZ25" t="s">
        <v>490</v>
      </c>
      <c r="DA25" t="s">
        <v>490</v>
      </c>
      <c r="DB25" t="s">
        <v>489</v>
      </c>
      <c r="DC25" t="s">
        <v>490</v>
      </c>
      <c r="DD25" t="s">
        <v>490</v>
      </c>
      <c r="DE25" t="s">
        <v>489</v>
      </c>
      <c r="DF25" t="s">
        <v>489</v>
      </c>
      <c r="DG25" t="s">
        <v>490</v>
      </c>
      <c r="DH25" t="s">
        <v>490</v>
      </c>
      <c r="FB25" t="s">
        <v>543</v>
      </c>
      <c r="OH25" s="15">
        <v>0</v>
      </c>
      <c r="OI25" s="15">
        <v>0</v>
      </c>
      <c r="OJ25" s="15">
        <v>0</v>
      </c>
      <c r="OK25" s="15">
        <v>0</v>
      </c>
      <c r="OL25" s="15">
        <v>0</v>
      </c>
      <c r="OM25" s="15">
        <v>0</v>
      </c>
      <c r="ON25" s="15">
        <v>0</v>
      </c>
      <c r="OO25" s="15">
        <v>0</v>
      </c>
    </row>
    <row r="26" spans="1:480">
      <c r="A26">
        <v>11716</v>
      </c>
      <c r="B26" t="s">
        <v>503</v>
      </c>
      <c r="C26" t="s">
        <v>972</v>
      </c>
      <c r="D26" t="s">
        <v>518</v>
      </c>
      <c r="E26" t="s">
        <v>500</v>
      </c>
      <c r="F26" t="s">
        <v>486</v>
      </c>
      <c r="G26">
        <v>120</v>
      </c>
      <c r="H26" t="s">
        <v>487</v>
      </c>
      <c r="I26" t="s">
        <v>487</v>
      </c>
      <c r="J26" t="s">
        <v>487</v>
      </c>
      <c r="K26" t="s">
        <v>487</v>
      </c>
      <c r="L26" t="s">
        <v>490</v>
      </c>
      <c r="M26" t="s">
        <v>489</v>
      </c>
      <c r="N26" t="s">
        <v>490</v>
      </c>
      <c r="O26" t="s">
        <v>489</v>
      </c>
      <c r="P26" t="s">
        <v>489</v>
      </c>
      <c r="Q26" t="s">
        <v>490</v>
      </c>
      <c r="R26" t="s">
        <v>489</v>
      </c>
      <c r="S26" t="s">
        <v>489</v>
      </c>
      <c r="FB26" t="s">
        <v>543</v>
      </c>
      <c r="OH26" s="15">
        <v>0</v>
      </c>
      <c r="OI26" s="15">
        <v>0</v>
      </c>
      <c r="OJ26" s="15">
        <v>0</v>
      </c>
      <c r="OK26" s="15">
        <v>0</v>
      </c>
      <c r="OL26" s="15">
        <v>0</v>
      </c>
      <c r="OM26" s="15">
        <v>0</v>
      </c>
      <c r="ON26" s="15">
        <v>0</v>
      </c>
      <c r="OO26" s="15">
        <v>0</v>
      </c>
    </row>
    <row r="27" spans="1:480">
      <c r="A27">
        <v>12031</v>
      </c>
      <c r="B27" t="s">
        <v>503</v>
      </c>
      <c r="C27" t="s">
        <v>972</v>
      </c>
      <c r="D27" t="s">
        <v>518</v>
      </c>
      <c r="E27" t="s">
        <v>500</v>
      </c>
      <c r="F27" t="s">
        <v>517</v>
      </c>
      <c r="G27">
        <v>1</v>
      </c>
      <c r="H27" t="s">
        <v>487</v>
      </c>
      <c r="I27" t="s">
        <v>487</v>
      </c>
      <c r="J27" t="s">
        <v>488</v>
      </c>
      <c r="K27" t="s">
        <v>487</v>
      </c>
      <c r="L27" t="s">
        <v>489</v>
      </c>
      <c r="M27" t="s">
        <v>489</v>
      </c>
      <c r="N27" t="s">
        <v>489</v>
      </c>
      <c r="O27" t="s">
        <v>489</v>
      </c>
      <c r="P27" t="s">
        <v>490</v>
      </c>
      <c r="Q27" t="s">
        <v>489</v>
      </c>
      <c r="R27" t="s">
        <v>490</v>
      </c>
      <c r="S27" t="s">
        <v>490</v>
      </c>
      <c r="T27" t="s">
        <v>489</v>
      </c>
      <c r="U27" t="s">
        <v>490</v>
      </c>
      <c r="V27" t="s">
        <v>490</v>
      </c>
      <c r="W27" t="s">
        <v>489</v>
      </c>
      <c r="X27" t="s">
        <v>490</v>
      </c>
      <c r="Y27" t="s">
        <v>490</v>
      </c>
      <c r="Z27" t="s">
        <v>490</v>
      </c>
      <c r="AA27" t="s">
        <v>490</v>
      </c>
      <c r="AB27" t="s">
        <v>489</v>
      </c>
      <c r="AC27" t="s">
        <v>489</v>
      </c>
      <c r="AD27" t="s">
        <v>490</v>
      </c>
      <c r="AE27" t="s">
        <v>490</v>
      </c>
      <c r="AF27" t="s">
        <v>489</v>
      </c>
      <c r="AG27" t="s">
        <v>490</v>
      </c>
      <c r="AH27" t="s">
        <v>490</v>
      </c>
      <c r="AI27" t="s">
        <v>489</v>
      </c>
      <c r="AJ27" t="s">
        <v>490</v>
      </c>
      <c r="AK27" t="s">
        <v>490</v>
      </c>
      <c r="AL27" t="s">
        <v>490</v>
      </c>
      <c r="AM27" t="s">
        <v>490</v>
      </c>
      <c r="AN27" t="s">
        <v>489</v>
      </c>
      <c r="AO27" t="s">
        <v>489</v>
      </c>
      <c r="AP27" t="s">
        <v>490</v>
      </c>
      <c r="AQ27" t="s">
        <v>490</v>
      </c>
      <c r="AR27" t="s">
        <v>489</v>
      </c>
      <c r="AS27" t="s">
        <v>490</v>
      </c>
      <c r="AT27" t="s">
        <v>490</v>
      </c>
      <c r="AU27" t="s">
        <v>489</v>
      </c>
      <c r="AV27" t="s">
        <v>489</v>
      </c>
      <c r="AW27" t="s">
        <v>490</v>
      </c>
      <c r="AX27" t="s">
        <v>489</v>
      </c>
      <c r="AY27" t="s">
        <v>490</v>
      </c>
      <c r="AZ27" t="s">
        <v>490</v>
      </c>
      <c r="BA27" t="s">
        <v>489</v>
      </c>
      <c r="BB27" t="s">
        <v>490</v>
      </c>
      <c r="BC27" t="s">
        <v>490</v>
      </c>
      <c r="BD27" t="s">
        <v>489</v>
      </c>
      <c r="BE27" t="s">
        <v>490</v>
      </c>
      <c r="BF27" t="s">
        <v>490</v>
      </c>
      <c r="BG27" t="s">
        <v>489</v>
      </c>
      <c r="BH27" t="s">
        <v>490</v>
      </c>
      <c r="BI27" t="s">
        <v>490</v>
      </c>
      <c r="BJ27" t="s">
        <v>489</v>
      </c>
      <c r="BK27" t="s">
        <v>489</v>
      </c>
      <c r="BL27" t="s">
        <v>490</v>
      </c>
      <c r="BM27" t="s">
        <v>489</v>
      </c>
      <c r="BN27" t="s">
        <v>490</v>
      </c>
      <c r="BO27" t="s">
        <v>490</v>
      </c>
      <c r="BP27" t="s">
        <v>489</v>
      </c>
      <c r="BQ27" t="s">
        <v>490</v>
      </c>
      <c r="BR27" t="s">
        <v>490</v>
      </c>
      <c r="BS27" t="s">
        <v>489</v>
      </c>
      <c r="BT27" t="s">
        <v>490</v>
      </c>
      <c r="BU27" t="s">
        <v>490</v>
      </c>
      <c r="BV27" t="s">
        <v>489</v>
      </c>
      <c r="BW27" t="s">
        <v>490</v>
      </c>
      <c r="BX27" t="s">
        <v>490</v>
      </c>
      <c r="BY27" t="s">
        <v>489</v>
      </c>
      <c r="BZ27" t="s">
        <v>490</v>
      </c>
      <c r="CA27" t="s">
        <v>490</v>
      </c>
      <c r="CB27" t="s">
        <v>489</v>
      </c>
      <c r="CC27" t="s">
        <v>490</v>
      </c>
      <c r="CD27" t="s">
        <v>490</v>
      </c>
      <c r="CE27" t="s">
        <v>489</v>
      </c>
      <c r="CF27" t="s">
        <v>490</v>
      </c>
      <c r="CG27" t="s">
        <v>490</v>
      </c>
      <c r="CH27" t="s">
        <v>489</v>
      </c>
      <c r="CI27" t="s">
        <v>490</v>
      </c>
      <c r="CJ27" t="s">
        <v>490</v>
      </c>
      <c r="CK27" t="s">
        <v>489</v>
      </c>
      <c r="CL27" t="s">
        <v>490</v>
      </c>
      <c r="CM27" t="s">
        <v>490</v>
      </c>
      <c r="CN27" t="s">
        <v>489</v>
      </c>
      <c r="CO27" t="s">
        <v>490</v>
      </c>
      <c r="CP27" t="s">
        <v>490</v>
      </c>
      <c r="CW27" t="s">
        <v>489</v>
      </c>
      <c r="CX27" t="s">
        <v>490</v>
      </c>
      <c r="CY27" t="s">
        <v>490</v>
      </c>
      <c r="CZ27" t="s">
        <v>490</v>
      </c>
      <c r="DA27" t="s">
        <v>490</v>
      </c>
      <c r="DB27" t="s">
        <v>489</v>
      </c>
      <c r="DC27" t="s">
        <v>490</v>
      </c>
      <c r="DD27" t="s">
        <v>490</v>
      </c>
      <c r="DE27" t="s">
        <v>489</v>
      </c>
      <c r="DF27" t="s">
        <v>489</v>
      </c>
      <c r="DG27" t="s">
        <v>490</v>
      </c>
      <c r="DH27" t="s">
        <v>490</v>
      </c>
      <c r="EY27">
        <v>90</v>
      </c>
      <c r="EZ27">
        <v>70</v>
      </c>
      <c r="FA27">
        <v>30</v>
      </c>
      <c r="FB27" t="s">
        <v>491</v>
      </c>
      <c r="OH27" s="15">
        <v>0</v>
      </c>
      <c r="OI27" s="15">
        <v>0</v>
      </c>
      <c r="OJ27" s="15">
        <v>0</v>
      </c>
      <c r="OK27" s="15">
        <v>0</v>
      </c>
      <c r="OL27" s="15">
        <v>0</v>
      </c>
      <c r="OM27" s="15">
        <v>0</v>
      </c>
      <c r="ON27" s="15">
        <v>0</v>
      </c>
      <c r="OO27" s="15">
        <v>0</v>
      </c>
    </row>
    <row r="28" spans="1:480">
      <c r="A28">
        <v>11849</v>
      </c>
      <c r="B28" t="s">
        <v>503</v>
      </c>
      <c r="C28" t="s">
        <v>972</v>
      </c>
      <c r="D28" t="s">
        <v>518</v>
      </c>
      <c r="E28" t="s">
        <v>500</v>
      </c>
      <c r="F28" t="s">
        <v>505</v>
      </c>
      <c r="G28">
        <v>0.78</v>
      </c>
      <c r="H28" t="s">
        <v>487</v>
      </c>
      <c r="I28" t="s">
        <v>487</v>
      </c>
      <c r="J28" t="s">
        <v>487</v>
      </c>
      <c r="K28" t="s">
        <v>487</v>
      </c>
      <c r="L28" t="s">
        <v>489</v>
      </c>
      <c r="M28" t="s">
        <v>489</v>
      </c>
      <c r="N28" t="s">
        <v>490</v>
      </c>
      <c r="O28" t="s">
        <v>489</v>
      </c>
      <c r="P28" t="s">
        <v>490</v>
      </c>
      <c r="Q28" t="s">
        <v>490</v>
      </c>
      <c r="R28" t="s">
        <v>489</v>
      </c>
      <c r="S28" t="s">
        <v>490</v>
      </c>
      <c r="T28" t="s">
        <v>489</v>
      </c>
      <c r="U28" t="s">
        <v>490</v>
      </c>
      <c r="V28" t="s">
        <v>490</v>
      </c>
      <c r="W28" t="s">
        <v>489</v>
      </c>
      <c r="X28" t="s">
        <v>490</v>
      </c>
      <c r="Y28" t="s">
        <v>490</v>
      </c>
      <c r="Z28" t="s">
        <v>490</v>
      </c>
      <c r="AA28" t="s">
        <v>490</v>
      </c>
      <c r="AB28" t="s">
        <v>489</v>
      </c>
      <c r="AC28" t="s">
        <v>489</v>
      </c>
      <c r="AD28" t="s">
        <v>489</v>
      </c>
      <c r="AE28" t="s">
        <v>490</v>
      </c>
      <c r="AF28" t="s">
        <v>490</v>
      </c>
      <c r="AG28" t="s">
        <v>490</v>
      </c>
      <c r="AH28" t="s">
        <v>489</v>
      </c>
      <c r="AI28" t="s">
        <v>489</v>
      </c>
      <c r="AJ28" t="s">
        <v>490</v>
      </c>
      <c r="AK28" t="s">
        <v>490</v>
      </c>
      <c r="AL28" t="s">
        <v>490</v>
      </c>
      <c r="AM28" t="s">
        <v>490</v>
      </c>
      <c r="AN28" t="s">
        <v>489</v>
      </c>
      <c r="AO28" t="s">
        <v>489</v>
      </c>
      <c r="AP28" t="s">
        <v>490</v>
      </c>
      <c r="AQ28" t="s">
        <v>490</v>
      </c>
      <c r="AR28" t="s">
        <v>490</v>
      </c>
      <c r="AS28" t="s">
        <v>490</v>
      </c>
      <c r="AT28" t="s">
        <v>489</v>
      </c>
      <c r="AU28" t="s">
        <v>489</v>
      </c>
      <c r="AV28" t="s">
        <v>489</v>
      </c>
      <c r="AW28" t="s">
        <v>490</v>
      </c>
      <c r="AX28" t="s">
        <v>489</v>
      </c>
      <c r="AY28" t="s">
        <v>490</v>
      </c>
      <c r="AZ28" t="s">
        <v>490</v>
      </c>
      <c r="BA28" t="s">
        <v>490</v>
      </c>
      <c r="BB28" t="s">
        <v>490</v>
      </c>
      <c r="BC28" t="s">
        <v>489</v>
      </c>
      <c r="BD28" t="s">
        <v>489</v>
      </c>
      <c r="BE28" t="s">
        <v>490</v>
      </c>
      <c r="BF28" t="s">
        <v>490</v>
      </c>
      <c r="BG28" t="s">
        <v>489</v>
      </c>
      <c r="BH28" t="s">
        <v>490</v>
      </c>
      <c r="BI28" t="s">
        <v>490</v>
      </c>
      <c r="BJ28" t="s">
        <v>489</v>
      </c>
      <c r="BK28" t="s">
        <v>489</v>
      </c>
      <c r="BL28" t="s">
        <v>490</v>
      </c>
      <c r="BM28" t="s">
        <v>489</v>
      </c>
      <c r="BN28" t="s">
        <v>490</v>
      </c>
      <c r="BO28" t="s">
        <v>490</v>
      </c>
      <c r="BP28" t="s">
        <v>489</v>
      </c>
      <c r="BQ28" t="s">
        <v>490</v>
      </c>
      <c r="BR28" t="s">
        <v>490</v>
      </c>
      <c r="BS28" t="s">
        <v>489</v>
      </c>
      <c r="BT28" t="s">
        <v>490</v>
      </c>
      <c r="BU28" t="s">
        <v>490</v>
      </c>
      <c r="CB28" t="s">
        <v>489</v>
      </c>
      <c r="CC28" t="s">
        <v>490</v>
      </c>
      <c r="CD28" t="s">
        <v>490</v>
      </c>
      <c r="CE28" t="s">
        <v>489</v>
      </c>
      <c r="CF28" t="s">
        <v>490</v>
      </c>
      <c r="CG28" t="s">
        <v>490</v>
      </c>
      <c r="CH28" t="s">
        <v>489</v>
      </c>
      <c r="CI28" t="s">
        <v>490</v>
      </c>
      <c r="CJ28" t="s">
        <v>490</v>
      </c>
      <c r="CK28" t="s">
        <v>489</v>
      </c>
      <c r="CL28" t="s">
        <v>490</v>
      </c>
      <c r="CM28" t="s">
        <v>490</v>
      </c>
      <c r="CN28" t="s">
        <v>489</v>
      </c>
      <c r="CO28" t="s">
        <v>490</v>
      </c>
      <c r="CP28" t="s">
        <v>490</v>
      </c>
      <c r="DI28" t="s">
        <v>489</v>
      </c>
      <c r="DJ28" t="s">
        <v>490</v>
      </c>
      <c r="DK28" t="s">
        <v>490</v>
      </c>
      <c r="DL28" t="s">
        <v>489</v>
      </c>
      <c r="DM28" t="s">
        <v>490</v>
      </c>
      <c r="DN28" t="s">
        <v>490</v>
      </c>
      <c r="DO28" t="s">
        <v>490</v>
      </c>
      <c r="DP28" t="s">
        <v>490</v>
      </c>
      <c r="DQ28" t="s">
        <v>489</v>
      </c>
      <c r="DR28" t="s">
        <v>489</v>
      </c>
      <c r="DS28" t="s">
        <v>489</v>
      </c>
      <c r="DT28" t="s">
        <v>490</v>
      </c>
      <c r="DU28" t="s">
        <v>489</v>
      </c>
      <c r="DV28" t="s">
        <v>489</v>
      </c>
      <c r="DW28" t="s">
        <v>490</v>
      </c>
      <c r="DX28" t="s">
        <v>490</v>
      </c>
      <c r="DY28" t="s">
        <v>490</v>
      </c>
      <c r="DZ28" t="s">
        <v>489</v>
      </c>
      <c r="EY28">
        <v>80</v>
      </c>
      <c r="EZ28">
        <v>50</v>
      </c>
      <c r="FA28">
        <v>40</v>
      </c>
      <c r="FB28" t="s">
        <v>491</v>
      </c>
      <c r="OH28" s="15">
        <v>0</v>
      </c>
      <c r="OI28" s="15">
        <v>0</v>
      </c>
      <c r="OJ28" s="15">
        <v>0</v>
      </c>
      <c r="OK28" s="15">
        <v>0</v>
      </c>
      <c r="OL28" s="15">
        <v>0</v>
      </c>
      <c r="OM28" s="15">
        <v>0</v>
      </c>
      <c r="ON28" s="15">
        <v>0</v>
      </c>
      <c r="OO28" s="15">
        <v>0</v>
      </c>
    </row>
    <row r="29" spans="1:480">
      <c r="A29">
        <v>11958</v>
      </c>
      <c r="B29" t="s">
        <v>503</v>
      </c>
      <c r="C29" t="s">
        <v>972</v>
      </c>
      <c r="D29" t="s">
        <v>518</v>
      </c>
      <c r="E29" t="s">
        <v>500</v>
      </c>
      <c r="F29" t="s">
        <v>496</v>
      </c>
      <c r="G29">
        <v>9</v>
      </c>
      <c r="H29" t="s">
        <v>487</v>
      </c>
      <c r="I29" t="s">
        <v>487</v>
      </c>
      <c r="J29" t="s">
        <v>487</v>
      </c>
      <c r="K29" t="s">
        <v>488</v>
      </c>
      <c r="L29" t="s">
        <v>489</v>
      </c>
      <c r="M29" t="s">
        <v>489</v>
      </c>
      <c r="N29" t="s">
        <v>489</v>
      </c>
      <c r="O29" t="s">
        <v>489</v>
      </c>
      <c r="P29" t="s">
        <v>490</v>
      </c>
      <c r="Q29" t="s">
        <v>490</v>
      </c>
      <c r="R29" t="s">
        <v>489</v>
      </c>
      <c r="S29" t="s">
        <v>490</v>
      </c>
      <c r="T29" t="s">
        <v>489</v>
      </c>
      <c r="U29" t="s">
        <v>489</v>
      </c>
      <c r="V29" t="s">
        <v>490</v>
      </c>
      <c r="W29" t="s">
        <v>489</v>
      </c>
      <c r="X29" t="s">
        <v>489</v>
      </c>
      <c r="Y29" t="s">
        <v>490</v>
      </c>
      <c r="Z29" t="s">
        <v>490</v>
      </c>
      <c r="AA29" t="s">
        <v>490</v>
      </c>
      <c r="AB29" t="s">
        <v>489</v>
      </c>
      <c r="AC29" t="s">
        <v>489</v>
      </c>
      <c r="AD29" t="s">
        <v>490</v>
      </c>
      <c r="AE29" t="s">
        <v>490</v>
      </c>
      <c r="AF29" t="s">
        <v>489</v>
      </c>
      <c r="AG29" t="s">
        <v>490</v>
      </c>
      <c r="AH29" t="s">
        <v>490</v>
      </c>
      <c r="AI29" t="s">
        <v>489</v>
      </c>
      <c r="AJ29" t="s">
        <v>490</v>
      </c>
      <c r="AK29" t="s">
        <v>490</v>
      </c>
      <c r="AL29" t="s">
        <v>490</v>
      </c>
      <c r="AM29" t="s">
        <v>490</v>
      </c>
      <c r="AN29" t="s">
        <v>489</v>
      </c>
      <c r="AO29" t="s">
        <v>490</v>
      </c>
      <c r="AP29" t="s">
        <v>490</v>
      </c>
      <c r="AQ29" t="s">
        <v>489</v>
      </c>
      <c r="AR29" t="s">
        <v>490</v>
      </c>
      <c r="AS29" t="s">
        <v>490</v>
      </c>
      <c r="AT29" t="s">
        <v>489</v>
      </c>
      <c r="AU29" t="s">
        <v>489</v>
      </c>
      <c r="AV29" t="s">
        <v>490</v>
      </c>
      <c r="AW29" t="s">
        <v>490</v>
      </c>
      <c r="AX29" t="s">
        <v>489</v>
      </c>
      <c r="AY29" t="s">
        <v>490</v>
      </c>
      <c r="AZ29" t="s">
        <v>490</v>
      </c>
      <c r="BA29" t="s">
        <v>489</v>
      </c>
      <c r="BB29" t="s">
        <v>490</v>
      </c>
      <c r="BC29" t="s">
        <v>490</v>
      </c>
      <c r="BD29" t="s">
        <v>489</v>
      </c>
      <c r="BE29" t="s">
        <v>490</v>
      </c>
      <c r="BF29" t="s">
        <v>490</v>
      </c>
      <c r="BG29" t="s">
        <v>489</v>
      </c>
      <c r="BH29" t="s">
        <v>490</v>
      </c>
      <c r="BI29" t="s">
        <v>490</v>
      </c>
      <c r="BJ29" t="s">
        <v>489</v>
      </c>
      <c r="BK29" t="s">
        <v>489</v>
      </c>
      <c r="BL29" t="s">
        <v>490</v>
      </c>
      <c r="BM29" t="s">
        <v>489</v>
      </c>
      <c r="BN29" t="s">
        <v>490</v>
      </c>
      <c r="BO29" t="s">
        <v>490</v>
      </c>
      <c r="BP29" t="s">
        <v>490</v>
      </c>
      <c r="BQ29" t="s">
        <v>490</v>
      </c>
      <c r="BR29" t="s">
        <v>489</v>
      </c>
      <c r="BS29" t="s">
        <v>489</v>
      </c>
      <c r="BT29" t="s">
        <v>490</v>
      </c>
      <c r="BU29" t="s">
        <v>490</v>
      </c>
      <c r="BV29" t="s">
        <v>490</v>
      </c>
      <c r="BW29" t="s">
        <v>490</v>
      </c>
      <c r="BX29" t="s">
        <v>489</v>
      </c>
      <c r="BY29" t="s">
        <v>489</v>
      </c>
      <c r="BZ29" t="s">
        <v>490</v>
      </c>
      <c r="CA29" t="s">
        <v>490</v>
      </c>
      <c r="CB29" t="s">
        <v>489</v>
      </c>
      <c r="CC29" t="s">
        <v>490</v>
      </c>
      <c r="CD29" t="s">
        <v>490</v>
      </c>
      <c r="CE29" t="s">
        <v>490</v>
      </c>
      <c r="CF29" t="s">
        <v>490</v>
      </c>
      <c r="CG29" t="s">
        <v>489</v>
      </c>
      <c r="CH29" t="s">
        <v>489</v>
      </c>
      <c r="CI29" t="s">
        <v>489</v>
      </c>
      <c r="CJ29" t="s">
        <v>490</v>
      </c>
      <c r="CK29" t="s">
        <v>489</v>
      </c>
      <c r="CL29" t="s">
        <v>490</v>
      </c>
      <c r="CM29" t="s">
        <v>490</v>
      </c>
      <c r="CN29" t="s">
        <v>489</v>
      </c>
      <c r="CO29" t="s">
        <v>490</v>
      </c>
      <c r="CP29" t="s">
        <v>490</v>
      </c>
      <c r="DI29" t="s">
        <v>489</v>
      </c>
      <c r="DJ29" t="s">
        <v>490</v>
      </c>
      <c r="DK29" t="s">
        <v>490</v>
      </c>
      <c r="DL29" t="s">
        <v>489</v>
      </c>
      <c r="DM29" t="s">
        <v>490</v>
      </c>
      <c r="DN29" t="s">
        <v>490</v>
      </c>
      <c r="DO29" t="s">
        <v>490</v>
      </c>
      <c r="DP29" t="s">
        <v>490</v>
      </c>
      <c r="DQ29" t="s">
        <v>489</v>
      </c>
      <c r="DR29" t="s">
        <v>489</v>
      </c>
      <c r="DS29" t="s">
        <v>489</v>
      </c>
      <c r="DT29" t="s">
        <v>490</v>
      </c>
      <c r="DU29" t="s">
        <v>489</v>
      </c>
      <c r="DV29" t="s">
        <v>489</v>
      </c>
      <c r="DW29" t="s">
        <v>490</v>
      </c>
      <c r="DX29" t="s">
        <v>490</v>
      </c>
      <c r="DY29" t="s">
        <v>490</v>
      </c>
      <c r="DZ29" t="s">
        <v>489</v>
      </c>
      <c r="EY29">
        <v>80</v>
      </c>
      <c r="EZ29">
        <v>5</v>
      </c>
      <c r="FA29">
        <v>70</v>
      </c>
      <c r="FB29" t="s">
        <v>543</v>
      </c>
      <c r="OH29" s="15">
        <v>0</v>
      </c>
      <c r="OI29" s="15">
        <v>0</v>
      </c>
      <c r="OJ29" s="15">
        <v>0</v>
      </c>
      <c r="OK29" s="15">
        <v>0</v>
      </c>
      <c r="OL29" s="15">
        <v>0</v>
      </c>
      <c r="OM29" s="15">
        <v>0</v>
      </c>
      <c r="ON29" s="15">
        <v>0</v>
      </c>
      <c r="OO29" s="15">
        <v>0</v>
      </c>
    </row>
    <row r="30" spans="1:480">
      <c r="A30">
        <v>11706</v>
      </c>
      <c r="B30" t="s">
        <v>503</v>
      </c>
      <c r="C30" t="s">
        <v>972</v>
      </c>
      <c r="D30" t="s">
        <v>518</v>
      </c>
      <c r="E30" t="s">
        <v>500</v>
      </c>
      <c r="F30" t="s">
        <v>505</v>
      </c>
      <c r="G30">
        <v>3.4</v>
      </c>
      <c r="H30" t="s">
        <v>487</v>
      </c>
      <c r="I30" t="s">
        <v>487</v>
      </c>
      <c r="J30" t="s">
        <v>487</v>
      </c>
      <c r="K30" t="s">
        <v>488</v>
      </c>
      <c r="L30" t="s">
        <v>489</v>
      </c>
      <c r="M30" t="s">
        <v>489</v>
      </c>
      <c r="N30" t="s">
        <v>490</v>
      </c>
      <c r="O30" t="s">
        <v>489</v>
      </c>
      <c r="P30" t="s">
        <v>489</v>
      </c>
      <c r="Q30" t="s">
        <v>490</v>
      </c>
      <c r="R30" t="s">
        <v>489</v>
      </c>
      <c r="S30" t="s">
        <v>490</v>
      </c>
      <c r="T30" t="s">
        <v>489</v>
      </c>
      <c r="U30" t="s">
        <v>490</v>
      </c>
      <c r="V30" t="s">
        <v>490</v>
      </c>
      <c r="W30" t="s">
        <v>489</v>
      </c>
      <c r="X30" t="s">
        <v>490</v>
      </c>
      <c r="Y30" t="s">
        <v>490</v>
      </c>
      <c r="Z30" t="s">
        <v>490</v>
      </c>
      <c r="AA30" t="s">
        <v>490</v>
      </c>
      <c r="AB30" t="s">
        <v>489</v>
      </c>
      <c r="AC30" t="s">
        <v>490</v>
      </c>
      <c r="AD30" t="s">
        <v>490</v>
      </c>
      <c r="AE30" t="s">
        <v>489</v>
      </c>
      <c r="AF30" t="s">
        <v>490</v>
      </c>
      <c r="AG30" t="s">
        <v>490</v>
      </c>
      <c r="AH30" t="s">
        <v>489</v>
      </c>
      <c r="AI30" t="s">
        <v>489</v>
      </c>
      <c r="AJ30" t="s">
        <v>490</v>
      </c>
      <c r="AK30" t="s">
        <v>490</v>
      </c>
      <c r="AL30" t="s">
        <v>490</v>
      </c>
      <c r="AM30" t="s">
        <v>490</v>
      </c>
      <c r="AN30" t="s">
        <v>489</v>
      </c>
      <c r="AO30" t="s">
        <v>490</v>
      </c>
      <c r="AP30" t="s">
        <v>490</v>
      </c>
      <c r="AQ30" t="s">
        <v>489</v>
      </c>
      <c r="AR30" t="s">
        <v>490</v>
      </c>
      <c r="AS30" t="s">
        <v>490</v>
      </c>
      <c r="AT30" t="s">
        <v>489</v>
      </c>
      <c r="AU30" t="s">
        <v>489</v>
      </c>
      <c r="AV30" t="s">
        <v>490</v>
      </c>
      <c r="AW30" t="s">
        <v>490</v>
      </c>
      <c r="AX30" t="s">
        <v>489</v>
      </c>
      <c r="AY30" t="s">
        <v>489</v>
      </c>
      <c r="AZ30" t="s">
        <v>490</v>
      </c>
      <c r="BA30" t="s">
        <v>489</v>
      </c>
      <c r="BB30" t="s">
        <v>489</v>
      </c>
      <c r="BC30" t="s">
        <v>490</v>
      </c>
      <c r="BD30" t="s">
        <v>489</v>
      </c>
      <c r="BE30" t="s">
        <v>489</v>
      </c>
      <c r="BF30" t="s">
        <v>490</v>
      </c>
      <c r="BG30" t="s">
        <v>489</v>
      </c>
      <c r="BH30" t="s">
        <v>489</v>
      </c>
      <c r="BI30" t="s">
        <v>490</v>
      </c>
      <c r="BJ30" t="s">
        <v>489</v>
      </c>
      <c r="BK30" t="s">
        <v>489</v>
      </c>
      <c r="BL30" t="s">
        <v>490</v>
      </c>
      <c r="BM30" t="s">
        <v>489</v>
      </c>
      <c r="BN30" t="s">
        <v>489</v>
      </c>
      <c r="BO30" t="s">
        <v>490</v>
      </c>
      <c r="BP30" t="s">
        <v>490</v>
      </c>
      <c r="BQ30" t="s">
        <v>490</v>
      </c>
      <c r="BR30" t="s">
        <v>489</v>
      </c>
      <c r="BS30" t="s">
        <v>490</v>
      </c>
      <c r="BT30" t="s">
        <v>490</v>
      </c>
      <c r="BU30" t="s">
        <v>489</v>
      </c>
      <c r="CB30" t="s">
        <v>489</v>
      </c>
      <c r="CC30" t="s">
        <v>489</v>
      </c>
      <c r="CD30" t="s">
        <v>490</v>
      </c>
      <c r="CE30" t="s">
        <v>489</v>
      </c>
      <c r="CF30" t="s">
        <v>489</v>
      </c>
      <c r="CG30" t="s">
        <v>490</v>
      </c>
      <c r="CH30" t="s">
        <v>489</v>
      </c>
      <c r="CI30" t="s">
        <v>489</v>
      </c>
      <c r="CJ30" t="s">
        <v>490</v>
      </c>
      <c r="CK30" t="s">
        <v>489</v>
      </c>
      <c r="CL30" t="s">
        <v>490</v>
      </c>
      <c r="CM30" t="s">
        <v>490</v>
      </c>
      <c r="CN30" t="s">
        <v>489</v>
      </c>
      <c r="CO30" t="s">
        <v>489</v>
      </c>
      <c r="CP30" t="s">
        <v>490</v>
      </c>
      <c r="CQ30" t="s">
        <v>489</v>
      </c>
      <c r="CR30" t="s">
        <v>490</v>
      </c>
      <c r="CS30" t="s">
        <v>490</v>
      </c>
      <c r="CT30" t="s">
        <v>489</v>
      </c>
      <c r="CU30" t="s">
        <v>490</v>
      </c>
      <c r="CV30" t="s">
        <v>490</v>
      </c>
      <c r="DI30" t="s">
        <v>490</v>
      </c>
      <c r="DJ30" t="s">
        <v>490</v>
      </c>
      <c r="DK30" t="s">
        <v>489</v>
      </c>
      <c r="DL30" t="s">
        <v>489</v>
      </c>
      <c r="DM30" t="s">
        <v>490</v>
      </c>
      <c r="DN30" t="s">
        <v>490</v>
      </c>
      <c r="DO30" t="s">
        <v>490</v>
      </c>
      <c r="DP30" t="s">
        <v>490</v>
      </c>
      <c r="DQ30" t="s">
        <v>489</v>
      </c>
      <c r="DR30" t="s">
        <v>489</v>
      </c>
      <c r="DS30" t="s">
        <v>490</v>
      </c>
      <c r="DT30" t="s">
        <v>490</v>
      </c>
      <c r="DU30" t="s">
        <v>489</v>
      </c>
      <c r="DV30" t="s">
        <v>490</v>
      </c>
      <c r="DW30" t="s">
        <v>490</v>
      </c>
      <c r="DX30" t="s">
        <v>490</v>
      </c>
      <c r="DY30" t="s">
        <v>490</v>
      </c>
      <c r="DZ30" t="s">
        <v>489</v>
      </c>
      <c r="EY30">
        <v>80</v>
      </c>
      <c r="EZ30">
        <v>30</v>
      </c>
      <c r="FA30">
        <v>70</v>
      </c>
      <c r="FB30" t="s">
        <v>543</v>
      </c>
      <c r="OH30" s="15">
        <v>0</v>
      </c>
      <c r="OI30" s="15">
        <v>0</v>
      </c>
      <c r="OJ30" s="15">
        <v>0</v>
      </c>
      <c r="OK30" s="15">
        <v>0</v>
      </c>
      <c r="OL30" s="15">
        <v>0</v>
      </c>
      <c r="OM30" s="15">
        <v>0</v>
      </c>
      <c r="ON30" s="15">
        <v>0</v>
      </c>
      <c r="OO30" s="15">
        <v>0</v>
      </c>
    </row>
    <row r="31" spans="1:480">
      <c r="A31">
        <v>11540</v>
      </c>
      <c r="B31" t="s">
        <v>503</v>
      </c>
      <c r="C31" t="s">
        <v>972</v>
      </c>
      <c r="D31" t="s">
        <v>518</v>
      </c>
      <c r="E31" t="s">
        <v>500</v>
      </c>
      <c r="F31" t="s">
        <v>516</v>
      </c>
      <c r="G31">
        <v>2</v>
      </c>
      <c r="H31" t="s">
        <v>487</v>
      </c>
      <c r="I31" t="s">
        <v>487</v>
      </c>
      <c r="J31" t="s">
        <v>487</v>
      </c>
      <c r="K31" t="s">
        <v>488</v>
      </c>
      <c r="L31" t="s">
        <v>489</v>
      </c>
      <c r="M31" t="s">
        <v>489</v>
      </c>
      <c r="N31" t="s">
        <v>489</v>
      </c>
      <c r="O31" t="s">
        <v>490</v>
      </c>
      <c r="P31" t="s">
        <v>490</v>
      </c>
      <c r="Q31" t="s">
        <v>489</v>
      </c>
      <c r="R31" t="s">
        <v>490</v>
      </c>
      <c r="S31" t="s">
        <v>490</v>
      </c>
      <c r="T31" t="s">
        <v>489</v>
      </c>
      <c r="U31" t="s">
        <v>490</v>
      </c>
      <c r="V31" t="s">
        <v>490</v>
      </c>
      <c r="W31" t="s">
        <v>489</v>
      </c>
      <c r="X31" t="s">
        <v>490</v>
      </c>
      <c r="Y31" t="s">
        <v>490</v>
      </c>
      <c r="Z31" t="s">
        <v>490</v>
      </c>
      <c r="AA31" t="s">
        <v>490</v>
      </c>
      <c r="AB31" t="s">
        <v>489</v>
      </c>
      <c r="AC31" t="s">
        <v>489</v>
      </c>
      <c r="AD31" t="s">
        <v>490</v>
      </c>
      <c r="AE31" t="s">
        <v>490</v>
      </c>
      <c r="AF31" t="s">
        <v>489</v>
      </c>
      <c r="AG31" t="s">
        <v>490</v>
      </c>
      <c r="AH31" t="s">
        <v>490</v>
      </c>
      <c r="AI31" t="s">
        <v>489</v>
      </c>
      <c r="AJ31" t="s">
        <v>490</v>
      </c>
      <c r="AK31" t="s">
        <v>490</v>
      </c>
      <c r="AL31" t="s">
        <v>490</v>
      </c>
      <c r="AM31" t="s">
        <v>490</v>
      </c>
      <c r="AN31" t="s">
        <v>489</v>
      </c>
      <c r="AO31" t="s">
        <v>489</v>
      </c>
      <c r="AP31" t="s">
        <v>490</v>
      </c>
      <c r="AQ31" t="s">
        <v>490</v>
      </c>
      <c r="AR31" t="s">
        <v>490</v>
      </c>
      <c r="AS31" t="s">
        <v>490</v>
      </c>
      <c r="AT31" t="s">
        <v>489</v>
      </c>
      <c r="AU31" t="s">
        <v>489</v>
      </c>
      <c r="AV31" t="s">
        <v>490</v>
      </c>
      <c r="AW31" t="s">
        <v>490</v>
      </c>
      <c r="AX31" t="s">
        <v>489</v>
      </c>
      <c r="AY31" t="s">
        <v>490</v>
      </c>
      <c r="AZ31" t="s">
        <v>490</v>
      </c>
      <c r="BA31" t="s">
        <v>489</v>
      </c>
      <c r="BB31" t="s">
        <v>490</v>
      </c>
      <c r="BC31" t="s">
        <v>490</v>
      </c>
      <c r="BD31" t="s">
        <v>489</v>
      </c>
      <c r="BE31" t="s">
        <v>490</v>
      </c>
      <c r="BF31" t="s">
        <v>490</v>
      </c>
      <c r="BG31" t="s">
        <v>489</v>
      </c>
      <c r="BH31" t="s">
        <v>490</v>
      </c>
      <c r="BI31" t="s">
        <v>490</v>
      </c>
      <c r="BJ31" t="s">
        <v>489</v>
      </c>
      <c r="BK31" t="s">
        <v>490</v>
      </c>
      <c r="BL31" t="s">
        <v>490</v>
      </c>
      <c r="BM31" t="s">
        <v>490</v>
      </c>
      <c r="BN31" t="s">
        <v>490</v>
      </c>
      <c r="BO31" t="s">
        <v>489</v>
      </c>
      <c r="BP31" t="s">
        <v>490</v>
      </c>
      <c r="BQ31" t="s">
        <v>490</v>
      </c>
      <c r="BR31" t="s">
        <v>489</v>
      </c>
      <c r="BS31" t="s">
        <v>490</v>
      </c>
      <c r="BT31" t="s">
        <v>490</v>
      </c>
      <c r="BU31" t="s">
        <v>489</v>
      </c>
      <c r="BV31" t="s">
        <v>490</v>
      </c>
      <c r="BW31" t="s">
        <v>490</v>
      </c>
      <c r="BX31" t="s">
        <v>489</v>
      </c>
      <c r="BY31" t="s">
        <v>490</v>
      </c>
      <c r="BZ31" t="s">
        <v>490</v>
      </c>
      <c r="CA31" t="s">
        <v>489</v>
      </c>
      <c r="CW31" t="s">
        <v>490</v>
      </c>
      <c r="CX31" t="s">
        <v>490</v>
      </c>
      <c r="CY31" t="s">
        <v>489</v>
      </c>
      <c r="CZ31" t="s">
        <v>490</v>
      </c>
      <c r="DA31" t="s">
        <v>490</v>
      </c>
      <c r="DB31" t="s">
        <v>489</v>
      </c>
      <c r="DC31" t="s">
        <v>490</v>
      </c>
      <c r="DD31" t="s">
        <v>490</v>
      </c>
      <c r="DE31" t="s">
        <v>489</v>
      </c>
      <c r="DF31" t="s">
        <v>490</v>
      </c>
      <c r="DG31" t="s">
        <v>490</v>
      </c>
      <c r="DH31" t="s">
        <v>489</v>
      </c>
      <c r="EY31">
        <v>100</v>
      </c>
      <c r="FB31" t="s">
        <v>543</v>
      </c>
      <c r="OH31" s="15">
        <v>0</v>
      </c>
      <c r="OI31" s="15">
        <v>0</v>
      </c>
      <c r="OJ31" s="15">
        <v>0</v>
      </c>
      <c r="OK31" s="15">
        <v>0</v>
      </c>
      <c r="OL31" s="15">
        <v>0</v>
      </c>
      <c r="OM31" s="15">
        <v>0</v>
      </c>
      <c r="ON31" s="15">
        <v>0</v>
      </c>
      <c r="OO31" s="15">
        <v>0</v>
      </c>
    </row>
    <row r="32" spans="1:480">
      <c r="A32">
        <v>12137</v>
      </c>
      <c r="B32" t="s">
        <v>503</v>
      </c>
      <c r="C32" t="s">
        <v>972</v>
      </c>
      <c r="D32" t="s">
        <v>518</v>
      </c>
      <c r="E32" t="s">
        <v>500</v>
      </c>
      <c r="F32" t="s">
        <v>505</v>
      </c>
      <c r="G32">
        <v>1.5</v>
      </c>
      <c r="H32" t="s">
        <v>487</v>
      </c>
      <c r="I32" t="s">
        <v>487</v>
      </c>
      <c r="J32" t="s">
        <v>487</v>
      </c>
      <c r="K32" t="s">
        <v>488</v>
      </c>
      <c r="L32" t="s">
        <v>489</v>
      </c>
      <c r="M32" t="s">
        <v>489</v>
      </c>
      <c r="N32" t="s">
        <v>489</v>
      </c>
      <c r="O32" t="s">
        <v>489</v>
      </c>
      <c r="P32" t="s">
        <v>490</v>
      </c>
      <c r="Q32" t="s">
        <v>490</v>
      </c>
      <c r="R32" t="s">
        <v>489</v>
      </c>
      <c r="S32" t="s">
        <v>490</v>
      </c>
      <c r="T32" t="s">
        <v>490</v>
      </c>
      <c r="U32" t="s">
        <v>490</v>
      </c>
      <c r="V32" t="s">
        <v>489</v>
      </c>
      <c r="W32" t="s">
        <v>489</v>
      </c>
      <c r="X32" t="s">
        <v>490</v>
      </c>
      <c r="Y32" t="s">
        <v>490</v>
      </c>
      <c r="Z32" t="s">
        <v>490</v>
      </c>
      <c r="AA32" t="s">
        <v>490</v>
      </c>
      <c r="AB32" t="s">
        <v>489</v>
      </c>
      <c r="AC32" t="s">
        <v>489</v>
      </c>
      <c r="AD32" t="s">
        <v>490</v>
      </c>
      <c r="AE32" t="s">
        <v>490</v>
      </c>
      <c r="AF32" t="s">
        <v>490</v>
      </c>
      <c r="AG32" t="s">
        <v>490</v>
      </c>
      <c r="AH32" t="s">
        <v>489</v>
      </c>
      <c r="AI32" t="s">
        <v>490</v>
      </c>
      <c r="AJ32" t="s">
        <v>490</v>
      </c>
      <c r="AK32" t="s">
        <v>489</v>
      </c>
      <c r="AL32" t="s">
        <v>490</v>
      </c>
      <c r="AM32" t="s">
        <v>490</v>
      </c>
      <c r="AN32" t="s">
        <v>489</v>
      </c>
      <c r="AO32" t="s">
        <v>490</v>
      </c>
      <c r="AP32" t="s">
        <v>490</v>
      </c>
      <c r="AQ32" t="s">
        <v>489</v>
      </c>
      <c r="AR32" t="s">
        <v>490</v>
      </c>
      <c r="AS32" t="s">
        <v>490</v>
      </c>
      <c r="AT32" t="s">
        <v>489</v>
      </c>
      <c r="AU32" t="s">
        <v>490</v>
      </c>
      <c r="AV32" t="s">
        <v>489</v>
      </c>
      <c r="AW32" t="s">
        <v>490</v>
      </c>
      <c r="AX32" t="s">
        <v>490</v>
      </c>
      <c r="AY32" t="s">
        <v>489</v>
      </c>
      <c r="AZ32" t="s">
        <v>490</v>
      </c>
      <c r="BA32" t="s">
        <v>490</v>
      </c>
      <c r="BB32" t="s">
        <v>489</v>
      </c>
      <c r="BC32" t="s">
        <v>490</v>
      </c>
      <c r="BD32" t="s">
        <v>490</v>
      </c>
      <c r="BE32" t="s">
        <v>489</v>
      </c>
      <c r="BF32" t="s">
        <v>490</v>
      </c>
      <c r="BG32" t="s">
        <v>490</v>
      </c>
      <c r="BH32" t="s">
        <v>489</v>
      </c>
      <c r="BI32" t="s">
        <v>490</v>
      </c>
      <c r="BJ32" t="s">
        <v>490</v>
      </c>
      <c r="BK32" t="s">
        <v>489</v>
      </c>
      <c r="BL32" t="s">
        <v>490</v>
      </c>
      <c r="BM32" t="s">
        <v>490</v>
      </c>
      <c r="BN32" t="s">
        <v>490</v>
      </c>
      <c r="BO32" t="s">
        <v>489</v>
      </c>
      <c r="BP32" t="s">
        <v>490</v>
      </c>
      <c r="BQ32" t="s">
        <v>490</v>
      </c>
      <c r="BR32" t="s">
        <v>489</v>
      </c>
      <c r="BS32" t="s">
        <v>490</v>
      </c>
      <c r="BT32" t="s">
        <v>490</v>
      </c>
      <c r="BU32" t="s">
        <v>489</v>
      </c>
      <c r="BV32" t="s">
        <v>490</v>
      </c>
      <c r="BW32" t="s">
        <v>490</v>
      </c>
      <c r="BX32" t="s">
        <v>489</v>
      </c>
      <c r="BY32" t="s">
        <v>489</v>
      </c>
      <c r="BZ32" t="s">
        <v>490</v>
      </c>
      <c r="CA32" t="s">
        <v>490</v>
      </c>
      <c r="CB32" t="s">
        <v>490</v>
      </c>
      <c r="CC32" t="s">
        <v>489</v>
      </c>
      <c r="CD32" t="s">
        <v>490</v>
      </c>
      <c r="CE32" t="s">
        <v>490</v>
      </c>
      <c r="CF32" t="s">
        <v>490</v>
      </c>
      <c r="CG32" t="s">
        <v>489</v>
      </c>
      <c r="CH32" t="s">
        <v>490</v>
      </c>
      <c r="CI32" t="s">
        <v>490</v>
      </c>
      <c r="CJ32" t="s">
        <v>489</v>
      </c>
      <c r="CK32" t="s">
        <v>489</v>
      </c>
      <c r="CL32" t="s">
        <v>490</v>
      </c>
      <c r="CM32" t="s">
        <v>490</v>
      </c>
      <c r="CN32" t="s">
        <v>489</v>
      </c>
      <c r="CO32" t="s">
        <v>490</v>
      </c>
      <c r="CP32" t="s">
        <v>490</v>
      </c>
      <c r="DI32" t="s">
        <v>490</v>
      </c>
      <c r="DJ32" t="s">
        <v>490</v>
      </c>
      <c r="DK32" t="s">
        <v>489</v>
      </c>
      <c r="DL32" t="s">
        <v>490</v>
      </c>
      <c r="DM32" t="s">
        <v>490</v>
      </c>
      <c r="DN32" t="s">
        <v>489</v>
      </c>
      <c r="DO32" t="s">
        <v>490</v>
      </c>
      <c r="DP32" t="s">
        <v>490</v>
      </c>
      <c r="DQ32" t="s">
        <v>489</v>
      </c>
      <c r="DR32" t="s">
        <v>490</v>
      </c>
      <c r="DS32" t="s">
        <v>489</v>
      </c>
      <c r="DT32" t="s">
        <v>490</v>
      </c>
      <c r="DU32" t="s">
        <v>490</v>
      </c>
      <c r="DV32" t="s">
        <v>489</v>
      </c>
      <c r="DW32" t="s">
        <v>490</v>
      </c>
      <c r="DX32" t="s">
        <v>490</v>
      </c>
      <c r="DY32" t="s">
        <v>490</v>
      </c>
      <c r="DZ32" t="s">
        <v>489</v>
      </c>
      <c r="EY32">
        <v>90</v>
      </c>
      <c r="EZ32">
        <v>40</v>
      </c>
      <c r="FA32">
        <v>60</v>
      </c>
      <c r="FB32" t="s">
        <v>543</v>
      </c>
      <c r="OH32" s="15">
        <v>0</v>
      </c>
      <c r="OI32" s="15">
        <v>0</v>
      </c>
      <c r="OJ32" s="15">
        <v>0</v>
      </c>
      <c r="OK32" s="15">
        <v>0</v>
      </c>
      <c r="OL32" s="15">
        <v>0</v>
      </c>
      <c r="OM32" s="15">
        <v>0</v>
      </c>
      <c r="ON32" s="15">
        <v>0</v>
      </c>
      <c r="OO32" s="15">
        <v>0</v>
      </c>
    </row>
    <row r="33" spans="1:486">
      <c r="A33">
        <v>11475</v>
      </c>
      <c r="B33" t="s">
        <v>503</v>
      </c>
      <c r="C33" t="s">
        <v>972</v>
      </c>
      <c r="D33" t="s">
        <v>518</v>
      </c>
      <c r="E33" t="s">
        <v>500</v>
      </c>
      <c r="F33" t="s">
        <v>516</v>
      </c>
      <c r="G33">
        <v>1</v>
      </c>
      <c r="H33" t="s">
        <v>487</v>
      </c>
      <c r="I33" t="s">
        <v>488</v>
      </c>
      <c r="J33" t="s">
        <v>487</v>
      </c>
      <c r="K33" t="s">
        <v>488</v>
      </c>
      <c r="L33" t="s">
        <v>489</v>
      </c>
      <c r="M33" t="s">
        <v>490</v>
      </c>
      <c r="N33" t="s">
        <v>489</v>
      </c>
      <c r="O33" t="s">
        <v>489</v>
      </c>
      <c r="P33" t="s">
        <v>490</v>
      </c>
      <c r="Q33" t="s">
        <v>490</v>
      </c>
      <c r="R33" t="s">
        <v>490</v>
      </c>
      <c r="S33" t="s">
        <v>490</v>
      </c>
      <c r="T33" t="s">
        <v>490</v>
      </c>
      <c r="U33" t="s">
        <v>490</v>
      </c>
      <c r="V33" t="s">
        <v>489</v>
      </c>
      <c r="W33" t="s">
        <v>490</v>
      </c>
      <c r="X33" t="s">
        <v>490</v>
      </c>
      <c r="Y33" t="s">
        <v>489</v>
      </c>
      <c r="Z33" t="s">
        <v>490</v>
      </c>
      <c r="AA33" t="s">
        <v>490</v>
      </c>
      <c r="AB33" t="s">
        <v>489</v>
      </c>
      <c r="AC33" t="s">
        <v>490</v>
      </c>
      <c r="AD33" t="s">
        <v>490</v>
      </c>
      <c r="AE33" t="s">
        <v>489</v>
      </c>
      <c r="AF33" t="s">
        <v>489</v>
      </c>
      <c r="AG33" t="s">
        <v>490</v>
      </c>
      <c r="AH33" t="s">
        <v>490</v>
      </c>
      <c r="AI33" t="s">
        <v>489</v>
      </c>
      <c r="AJ33" t="s">
        <v>490</v>
      </c>
      <c r="AK33" t="s">
        <v>490</v>
      </c>
      <c r="AL33" t="s">
        <v>490</v>
      </c>
      <c r="AM33" t="s">
        <v>490</v>
      </c>
      <c r="AN33" t="s">
        <v>489</v>
      </c>
      <c r="AO33" t="s">
        <v>490</v>
      </c>
      <c r="AP33" t="s">
        <v>490</v>
      </c>
      <c r="AQ33" t="s">
        <v>489</v>
      </c>
      <c r="AR33" t="s">
        <v>490</v>
      </c>
      <c r="AS33" t="s">
        <v>490</v>
      </c>
      <c r="AT33" t="s">
        <v>489</v>
      </c>
      <c r="AU33" t="s">
        <v>489</v>
      </c>
      <c r="AV33" t="s">
        <v>490</v>
      </c>
      <c r="AW33" t="s">
        <v>490</v>
      </c>
      <c r="BV33" t="s">
        <v>489</v>
      </c>
      <c r="BW33" t="s">
        <v>489</v>
      </c>
      <c r="BX33" t="s">
        <v>490</v>
      </c>
      <c r="BY33" t="s">
        <v>489</v>
      </c>
      <c r="BZ33" t="s">
        <v>489</v>
      </c>
      <c r="CA33" t="s">
        <v>490</v>
      </c>
      <c r="CB33" t="s">
        <v>490</v>
      </c>
      <c r="CC33" t="s">
        <v>490</v>
      </c>
      <c r="CD33" t="s">
        <v>489</v>
      </c>
      <c r="CE33" t="s">
        <v>489</v>
      </c>
      <c r="CF33" t="s">
        <v>490</v>
      </c>
      <c r="CG33" t="s">
        <v>490</v>
      </c>
      <c r="CH33" t="s">
        <v>489</v>
      </c>
      <c r="CI33" t="s">
        <v>490</v>
      </c>
      <c r="CJ33" t="s">
        <v>490</v>
      </c>
      <c r="CK33" t="s">
        <v>490</v>
      </c>
      <c r="CL33" t="s">
        <v>490</v>
      </c>
      <c r="CM33" t="s">
        <v>489</v>
      </c>
      <c r="CN33" t="s">
        <v>490</v>
      </c>
      <c r="CO33" t="s">
        <v>490</v>
      </c>
      <c r="CP33" t="s">
        <v>489</v>
      </c>
      <c r="EY33">
        <v>100</v>
      </c>
      <c r="EZ33">
        <v>50</v>
      </c>
      <c r="FA33">
        <v>50</v>
      </c>
      <c r="FB33" t="s">
        <v>543</v>
      </c>
      <c r="OH33" s="15">
        <v>0</v>
      </c>
      <c r="OI33" s="15">
        <v>0</v>
      </c>
      <c r="OJ33" s="15">
        <v>0</v>
      </c>
      <c r="OK33" s="15">
        <v>0</v>
      </c>
      <c r="OL33" s="15">
        <v>0</v>
      </c>
      <c r="OM33" s="15">
        <v>0</v>
      </c>
      <c r="ON33" s="15">
        <v>0</v>
      </c>
      <c r="OO33" s="15">
        <v>0</v>
      </c>
      <c r="RR33" t="s">
        <v>536</v>
      </c>
    </row>
    <row r="34" spans="1:486">
      <c r="A34">
        <v>1003526</v>
      </c>
      <c r="B34" t="s">
        <v>503</v>
      </c>
      <c r="C34" t="s">
        <v>972</v>
      </c>
      <c r="D34" t="s">
        <v>518</v>
      </c>
      <c r="E34" t="s">
        <v>500</v>
      </c>
      <c r="F34" t="s">
        <v>505</v>
      </c>
      <c r="G34">
        <v>2</v>
      </c>
      <c r="H34" t="s">
        <v>487</v>
      </c>
      <c r="I34" t="s">
        <v>487</v>
      </c>
      <c r="J34" t="s">
        <v>488</v>
      </c>
      <c r="K34" t="s">
        <v>488</v>
      </c>
      <c r="L34" t="s">
        <v>489</v>
      </c>
      <c r="M34" t="s">
        <v>489</v>
      </c>
      <c r="N34" t="s">
        <v>490</v>
      </c>
      <c r="O34" t="s">
        <v>490</v>
      </c>
      <c r="P34" t="s">
        <v>490</v>
      </c>
      <c r="Q34" t="s">
        <v>489</v>
      </c>
      <c r="R34" t="s">
        <v>490</v>
      </c>
      <c r="S34" t="s">
        <v>490</v>
      </c>
      <c r="T34" t="s">
        <v>489</v>
      </c>
      <c r="U34" t="s">
        <v>490</v>
      </c>
      <c r="V34" t="s">
        <v>490</v>
      </c>
      <c r="W34" t="s">
        <v>489</v>
      </c>
      <c r="X34" t="s">
        <v>490</v>
      </c>
      <c r="Y34" t="s">
        <v>490</v>
      </c>
      <c r="Z34" t="s">
        <v>490</v>
      </c>
      <c r="AA34" t="s">
        <v>490</v>
      </c>
      <c r="AB34" t="s">
        <v>489</v>
      </c>
      <c r="AC34" t="s">
        <v>490</v>
      </c>
      <c r="AD34" t="s">
        <v>490</v>
      </c>
      <c r="AE34" t="s">
        <v>489</v>
      </c>
      <c r="AF34" t="s">
        <v>490</v>
      </c>
      <c r="AG34" t="s">
        <v>490</v>
      </c>
      <c r="AH34" t="s">
        <v>489</v>
      </c>
      <c r="AI34" t="s">
        <v>490</v>
      </c>
      <c r="AJ34" t="s">
        <v>490</v>
      </c>
      <c r="AK34" t="s">
        <v>489</v>
      </c>
      <c r="AL34" t="s">
        <v>490</v>
      </c>
      <c r="AM34" t="s">
        <v>490</v>
      </c>
      <c r="AN34" t="s">
        <v>489</v>
      </c>
      <c r="AO34" t="s">
        <v>490</v>
      </c>
      <c r="AP34" t="s">
        <v>490</v>
      </c>
      <c r="AQ34" t="s">
        <v>489</v>
      </c>
      <c r="AR34" t="s">
        <v>490</v>
      </c>
      <c r="AS34" t="s">
        <v>490</v>
      </c>
      <c r="AT34" t="s">
        <v>489</v>
      </c>
      <c r="AU34" t="s">
        <v>490</v>
      </c>
      <c r="AV34" t="s">
        <v>490</v>
      </c>
      <c r="AW34" t="s">
        <v>489</v>
      </c>
      <c r="AX34" t="s">
        <v>490</v>
      </c>
      <c r="AY34" t="s">
        <v>490</v>
      </c>
      <c r="AZ34" t="s">
        <v>489</v>
      </c>
      <c r="BA34" t="s">
        <v>490</v>
      </c>
      <c r="BB34" t="s">
        <v>490</v>
      </c>
      <c r="BC34" t="s">
        <v>489</v>
      </c>
      <c r="BD34" t="s">
        <v>489</v>
      </c>
      <c r="BE34" t="s">
        <v>489</v>
      </c>
      <c r="BF34" t="s">
        <v>490</v>
      </c>
      <c r="BG34" t="s">
        <v>489</v>
      </c>
      <c r="BH34" t="s">
        <v>490</v>
      </c>
      <c r="BI34" t="s">
        <v>490</v>
      </c>
      <c r="BJ34" t="s">
        <v>490</v>
      </c>
      <c r="BK34" t="s">
        <v>490</v>
      </c>
      <c r="BL34" t="s">
        <v>489</v>
      </c>
      <c r="BM34" t="s">
        <v>490</v>
      </c>
      <c r="BN34" t="s">
        <v>490</v>
      </c>
      <c r="BO34" t="s">
        <v>489</v>
      </c>
      <c r="BP34" t="s">
        <v>490</v>
      </c>
      <c r="BQ34" t="s">
        <v>490</v>
      </c>
      <c r="BR34" t="s">
        <v>489</v>
      </c>
      <c r="BS34" t="s">
        <v>490</v>
      </c>
      <c r="BT34" t="s">
        <v>490</v>
      </c>
      <c r="BU34" t="s">
        <v>489</v>
      </c>
      <c r="CW34" t="s">
        <v>489</v>
      </c>
      <c r="CX34" t="s">
        <v>490</v>
      </c>
      <c r="CY34" t="s">
        <v>490</v>
      </c>
      <c r="CZ34" t="s">
        <v>490</v>
      </c>
      <c r="DA34" t="s">
        <v>490</v>
      </c>
      <c r="DB34" t="s">
        <v>489</v>
      </c>
      <c r="DC34" t="s">
        <v>490</v>
      </c>
      <c r="DD34" t="s">
        <v>490</v>
      </c>
      <c r="DE34" t="s">
        <v>489</v>
      </c>
      <c r="DF34" t="s">
        <v>489</v>
      </c>
      <c r="DG34" t="s">
        <v>490</v>
      </c>
      <c r="DH34" t="s">
        <v>490</v>
      </c>
      <c r="EY34">
        <v>10</v>
      </c>
      <c r="EZ34">
        <v>1</v>
      </c>
      <c r="FA34">
        <v>20</v>
      </c>
      <c r="FB34" t="s">
        <v>543</v>
      </c>
      <c r="OH34" s="15">
        <v>1</v>
      </c>
      <c r="OI34" s="15">
        <v>1</v>
      </c>
      <c r="OJ34" s="15">
        <v>10</v>
      </c>
      <c r="OK34" s="15">
        <v>1</v>
      </c>
      <c r="OL34" s="15">
        <v>9</v>
      </c>
      <c r="OM34" s="15">
        <v>10</v>
      </c>
      <c r="ON34" s="15">
        <v>1</v>
      </c>
      <c r="OO34" s="15">
        <v>1</v>
      </c>
      <c r="OQ34" t="s">
        <v>488</v>
      </c>
      <c r="OR34" t="s">
        <v>488</v>
      </c>
      <c r="PT34" t="s">
        <v>488</v>
      </c>
      <c r="PU34" t="s">
        <v>519</v>
      </c>
      <c r="PV34">
        <v>0</v>
      </c>
      <c r="PW34">
        <v>2000</v>
      </c>
      <c r="PX34">
        <v>2000</v>
      </c>
      <c r="PY34" t="s">
        <v>493</v>
      </c>
      <c r="PZ34" t="s">
        <v>510</v>
      </c>
    </row>
    <row r="35" spans="1:486">
      <c r="A35">
        <v>11522</v>
      </c>
      <c r="B35" t="s">
        <v>503</v>
      </c>
      <c r="C35" t="s">
        <v>972</v>
      </c>
      <c r="D35" t="s">
        <v>518</v>
      </c>
      <c r="E35" t="s">
        <v>500</v>
      </c>
      <c r="F35" t="s">
        <v>505</v>
      </c>
      <c r="G35">
        <v>1</v>
      </c>
      <c r="H35" t="s">
        <v>487</v>
      </c>
      <c r="I35" t="s">
        <v>487</v>
      </c>
      <c r="J35" t="s">
        <v>519</v>
      </c>
      <c r="K35" t="s">
        <v>487</v>
      </c>
      <c r="L35" t="s">
        <v>489</v>
      </c>
      <c r="M35" t="s">
        <v>489</v>
      </c>
      <c r="N35" t="s">
        <v>489</v>
      </c>
      <c r="O35" t="s">
        <v>490</v>
      </c>
      <c r="P35" t="s">
        <v>490</v>
      </c>
      <c r="Q35" t="s">
        <v>490</v>
      </c>
      <c r="R35" t="s">
        <v>490</v>
      </c>
      <c r="S35" t="s">
        <v>490</v>
      </c>
      <c r="T35" t="s">
        <v>490</v>
      </c>
      <c r="U35" t="s">
        <v>489</v>
      </c>
      <c r="V35" t="s">
        <v>490</v>
      </c>
      <c r="W35" t="s">
        <v>490</v>
      </c>
      <c r="X35" t="s">
        <v>490</v>
      </c>
      <c r="Y35" t="s">
        <v>489</v>
      </c>
      <c r="Z35" t="s">
        <v>490</v>
      </c>
      <c r="AA35" t="s">
        <v>490</v>
      </c>
      <c r="AB35" t="s">
        <v>489</v>
      </c>
      <c r="AC35" t="s">
        <v>490</v>
      </c>
      <c r="AD35" t="s">
        <v>490</v>
      </c>
      <c r="AE35" t="s">
        <v>489</v>
      </c>
      <c r="AF35" t="s">
        <v>490</v>
      </c>
      <c r="AG35" t="s">
        <v>490</v>
      </c>
      <c r="AH35" t="s">
        <v>489</v>
      </c>
      <c r="AI35" t="s">
        <v>490</v>
      </c>
      <c r="AJ35" t="s">
        <v>490</v>
      </c>
      <c r="AK35" t="s">
        <v>489</v>
      </c>
      <c r="AL35" t="s">
        <v>490</v>
      </c>
      <c r="AM35" t="s">
        <v>490</v>
      </c>
      <c r="AN35" t="s">
        <v>489</v>
      </c>
      <c r="AO35" t="s">
        <v>490</v>
      </c>
      <c r="AP35" t="s">
        <v>490</v>
      </c>
      <c r="AQ35" t="s">
        <v>489</v>
      </c>
      <c r="AR35" t="s">
        <v>490</v>
      </c>
      <c r="AS35" t="s">
        <v>490</v>
      </c>
      <c r="AT35" t="s">
        <v>489</v>
      </c>
      <c r="AU35" t="s">
        <v>490</v>
      </c>
      <c r="AV35" t="s">
        <v>490</v>
      </c>
      <c r="AW35" t="s">
        <v>489</v>
      </c>
      <c r="AX35" t="s">
        <v>490</v>
      </c>
      <c r="AY35" t="s">
        <v>489</v>
      </c>
      <c r="AZ35" t="s">
        <v>490</v>
      </c>
      <c r="BA35" t="s">
        <v>490</v>
      </c>
      <c r="BB35" t="s">
        <v>489</v>
      </c>
      <c r="BC35" t="s">
        <v>490</v>
      </c>
      <c r="BD35" t="s">
        <v>489</v>
      </c>
      <c r="BE35" t="s">
        <v>490</v>
      </c>
      <c r="BF35" t="s">
        <v>490</v>
      </c>
      <c r="BG35" t="s">
        <v>490</v>
      </c>
      <c r="BH35" t="s">
        <v>489</v>
      </c>
      <c r="BI35" t="s">
        <v>490</v>
      </c>
      <c r="BJ35" t="s">
        <v>490</v>
      </c>
      <c r="BK35" t="s">
        <v>489</v>
      </c>
      <c r="BL35" t="s">
        <v>490</v>
      </c>
      <c r="BM35" t="s">
        <v>490</v>
      </c>
      <c r="BN35" t="s">
        <v>490</v>
      </c>
      <c r="BO35" t="s">
        <v>489</v>
      </c>
      <c r="BP35" t="s">
        <v>490</v>
      </c>
      <c r="BQ35" t="s">
        <v>490</v>
      </c>
      <c r="BR35" t="s">
        <v>489</v>
      </c>
      <c r="BS35" t="s">
        <v>490</v>
      </c>
      <c r="BT35" t="s">
        <v>490</v>
      </c>
      <c r="BU35" t="s">
        <v>489</v>
      </c>
      <c r="BV35" t="s">
        <v>490</v>
      </c>
      <c r="BW35" t="s">
        <v>490</v>
      </c>
      <c r="BX35" t="s">
        <v>489</v>
      </c>
      <c r="BY35" t="s">
        <v>490</v>
      </c>
      <c r="BZ35" t="s">
        <v>490</v>
      </c>
      <c r="CA35" t="s">
        <v>489</v>
      </c>
      <c r="EY35">
        <v>70</v>
      </c>
      <c r="EZ35">
        <v>70</v>
      </c>
      <c r="FA35">
        <v>25</v>
      </c>
      <c r="FB35" t="s">
        <v>543</v>
      </c>
      <c r="OH35" s="15">
        <v>2</v>
      </c>
      <c r="OI35" s="15">
        <v>2</v>
      </c>
      <c r="OJ35" s="15">
        <v>8</v>
      </c>
      <c r="OK35" s="15">
        <v>4</v>
      </c>
      <c r="OL35" s="15">
        <v>8</v>
      </c>
      <c r="OM35" s="15">
        <v>8</v>
      </c>
      <c r="ON35" s="15">
        <v>2</v>
      </c>
      <c r="OO35" s="15">
        <v>1</v>
      </c>
      <c r="OQ35" t="s">
        <v>519</v>
      </c>
      <c r="OR35" t="s">
        <v>519</v>
      </c>
      <c r="PT35" t="s">
        <v>488</v>
      </c>
      <c r="PU35" t="s">
        <v>497</v>
      </c>
      <c r="PV35">
        <v>25000</v>
      </c>
      <c r="PW35">
        <v>2000</v>
      </c>
      <c r="PX35">
        <v>27000</v>
      </c>
      <c r="PY35" t="s">
        <v>493</v>
      </c>
      <c r="PZ35" t="s">
        <v>493</v>
      </c>
      <c r="QA35">
        <v>70</v>
      </c>
      <c r="QB35">
        <v>30</v>
      </c>
      <c r="QC35">
        <v>80</v>
      </c>
      <c r="QD35">
        <v>20</v>
      </c>
      <c r="QE35" t="s">
        <v>508</v>
      </c>
      <c r="QZ35">
        <v>1</v>
      </c>
      <c r="RA35">
        <v>50</v>
      </c>
      <c r="RB35" t="s">
        <v>489</v>
      </c>
      <c r="RC35" t="s">
        <v>490</v>
      </c>
      <c r="RD35" t="s">
        <v>490</v>
      </c>
      <c r="RE35" t="s">
        <v>489</v>
      </c>
      <c r="RF35" t="s">
        <v>490</v>
      </c>
      <c r="RG35" t="s">
        <v>490</v>
      </c>
      <c r="RH35" t="s">
        <v>490</v>
      </c>
      <c r="RI35" t="s">
        <v>490</v>
      </c>
    </row>
    <row r="36" spans="1:486">
      <c r="A36">
        <v>11882</v>
      </c>
      <c r="B36" t="s">
        <v>503</v>
      </c>
      <c r="C36" t="s">
        <v>972</v>
      </c>
      <c r="D36" t="s">
        <v>518</v>
      </c>
      <c r="E36" t="s">
        <v>500</v>
      </c>
      <c r="F36" t="s">
        <v>516</v>
      </c>
      <c r="G36">
        <v>0</v>
      </c>
      <c r="H36" t="s">
        <v>487</v>
      </c>
      <c r="I36" t="s">
        <v>487</v>
      </c>
      <c r="J36" t="s">
        <v>488</v>
      </c>
      <c r="K36" t="s">
        <v>488</v>
      </c>
      <c r="L36" t="s">
        <v>489</v>
      </c>
      <c r="M36" t="s">
        <v>489</v>
      </c>
      <c r="N36" t="s">
        <v>490</v>
      </c>
      <c r="O36" t="s">
        <v>490</v>
      </c>
      <c r="P36" t="s">
        <v>490</v>
      </c>
      <c r="Q36" t="s">
        <v>490</v>
      </c>
      <c r="R36" t="s">
        <v>489</v>
      </c>
      <c r="S36" t="s">
        <v>490</v>
      </c>
      <c r="T36" t="s">
        <v>490</v>
      </c>
      <c r="U36" t="s">
        <v>490</v>
      </c>
      <c r="V36" t="s">
        <v>489</v>
      </c>
      <c r="W36" t="s">
        <v>489</v>
      </c>
      <c r="X36" t="s">
        <v>490</v>
      </c>
      <c r="Y36" t="s">
        <v>490</v>
      </c>
      <c r="Z36" t="s">
        <v>490</v>
      </c>
      <c r="AA36" t="s">
        <v>490</v>
      </c>
      <c r="AB36" t="s">
        <v>489</v>
      </c>
      <c r="AC36" t="s">
        <v>489</v>
      </c>
      <c r="AD36" t="s">
        <v>490</v>
      </c>
      <c r="AE36" t="s">
        <v>490</v>
      </c>
      <c r="AF36" t="s">
        <v>490</v>
      </c>
      <c r="AG36" t="s">
        <v>490</v>
      </c>
      <c r="AH36" t="s">
        <v>489</v>
      </c>
      <c r="AI36" t="s">
        <v>489</v>
      </c>
      <c r="AJ36" t="s">
        <v>490</v>
      </c>
      <c r="AK36" t="s">
        <v>490</v>
      </c>
      <c r="AL36" t="s">
        <v>489</v>
      </c>
      <c r="AM36" t="s">
        <v>490</v>
      </c>
      <c r="AN36" t="s">
        <v>490</v>
      </c>
      <c r="AO36" t="s">
        <v>490</v>
      </c>
      <c r="AP36" t="s">
        <v>490</v>
      </c>
      <c r="AQ36" t="s">
        <v>489</v>
      </c>
      <c r="AR36" t="s">
        <v>490</v>
      </c>
      <c r="AS36" t="s">
        <v>490</v>
      </c>
      <c r="AT36" t="s">
        <v>489</v>
      </c>
      <c r="AU36" t="s">
        <v>490</v>
      </c>
      <c r="AV36" t="s">
        <v>490</v>
      </c>
      <c r="AW36" t="s">
        <v>489</v>
      </c>
      <c r="AX36" t="s">
        <v>489</v>
      </c>
      <c r="AY36" t="s">
        <v>490</v>
      </c>
      <c r="AZ36" t="s">
        <v>490</v>
      </c>
      <c r="BA36" t="s">
        <v>489</v>
      </c>
      <c r="BB36" t="s">
        <v>490</v>
      </c>
      <c r="BC36" t="s">
        <v>490</v>
      </c>
      <c r="BD36" t="s">
        <v>489</v>
      </c>
      <c r="BE36" t="s">
        <v>490</v>
      </c>
      <c r="BF36" t="s">
        <v>490</v>
      </c>
      <c r="BG36" t="s">
        <v>489</v>
      </c>
      <c r="BH36" t="s">
        <v>490</v>
      </c>
      <c r="BI36" t="s">
        <v>490</v>
      </c>
      <c r="BJ36" t="s">
        <v>489</v>
      </c>
      <c r="BK36" t="s">
        <v>489</v>
      </c>
      <c r="BL36" t="s">
        <v>490</v>
      </c>
      <c r="BM36" t="s">
        <v>490</v>
      </c>
      <c r="BN36" t="s">
        <v>490</v>
      </c>
      <c r="BO36" t="s">
        <v>489</v>
      </c>
      <c r="BP36" t="s">
        <v>489</v>
      </c>
      <c r="BQ36" t="s">
        <v>490</v>
      </c>
      <c r="BR36" t="s">
        <v>490</v>
      </c>
      <c r="BS36" t="s">
        <v>490</v>
      </c>
      <c r="BT36" t="s">
        <v>490</v>
      </c>
      <c r="BU36" t="s">
        <v>489</v>
      </c>
      <c r="DI36" t="s">
        <v>490</v>
      </c>
      <c r="DJ36" t="s">
        <v>490</v>
      </c>
      <c r="DK36" t="s">
        <v>489</v>
      </c>
      <c r="DL36" t="s">
        <v>490</v>
      </c>
      <c r="DM36" t="s">
        <v>490</v>
      </c>
      <c r="DN36" t="s">
        <v>489</v>
      </c>
      <c r="DO36" t="s">
        <v>490</v>
      </c>
      <c r="DP36" t="s">
        <v>490</v>
      </c>
      <c r="DQ36" t="s">
        <v>489</v>
      </c>
      <c r="DR36" t="s">
        <v>490</v>
      </c>
      <c r="DS36" t="s">
        <v>490</v>
      </c>
      <c r="DT36" t="s">
        <v>489</v>
      </c>
      <c r="DU36" t="s">
        <v>490</v>
      </c>
      <c r="DV36" t="s">
        <v>490</v>
      </c>
      <c r="DW36" t="s">
        <v>489</v>
      </c>
      <c r="DX36" t="s">
        <v>490</v>
      </c>
      <c r="DY36" t="s">
        <v>490</v>
      </c>
      <c r="DZ36" t="s">
        <v>489</v>
      </c>
      <c r="EY36">
        <v>85</v>
      </c>
      <c r="EZ36">
        <v>10</v>
      </c>
      <c r="FA36">
        <v>15</v>
      </c>
      <c r="FB36" t="s">
        <v>543</v>
      </c>
      <c r="OH36" s="15">
        <v>3</v>
      </c>
      <c r="OI36" s="15">
        <v>3</v>
      </c>
      <c r="OJ36" s="15">
        <v>3</v>
      </c>
      <c r="OK36" s="15">
        <v>2</v>
      </c>
      <c r="OL36" s="15">
        <v>5</v>
      </c>
      <c r="OM36" s="15">
        <v>6</v>
      </c>
      <c r="ON36" s="15">
        <v>4</v>
      </c>
      <c r="OO36" s="15">
        <v>1</v>
      </c>
      <c r="OQ36" t="s">
        <v>488</v>
      </c>
      <c r="OR36" t="s">
        <v>488</v>
      </c>
      <c r="OY36">
        <v>20</v>
      </c>
      <c r="OZ36">
        <v>0</v>
      </c>
      <c r="PA36">
        <v>0</v>
      </c>
      <c r="PB36">
        <v>0</v>
      </c>
      <c r="PC36">
        <v>0</v>
      </c>
      <c r="PD36">
        <v>0</v>
      </c>
      <c r="PE36">
        <v>0</v>
      </c>
      <c r="PF36">
        <v>0</v>
      </c>
      <c r="PG36">
        <v>0</v>
      </c>
      <c r="PH36">
        <v>0</v>
      </c>
      <c r="PI36">
        <v>25</v>
      </c>
      <c r="PJ36">
        <v>0</v>
      </c>
      <c r="PK36">
        <v>0</v>
      </c>
      <c r="PL36">
        <v>0</v>
      </c>
      <c r="PM36">
        <v>0</v>
      </c>
      <c r="PN36">
        <v>0</v>
      </c>
      <c r="PO36">
        <v>0</v>
      </c>
      <c r="PP36">
        <v>0</v>
      </c>
      <c r="PQ36">
        <v>0</v>
      </c>
      <c r="PR36">
        <v>0</v>
      </c>
      <c r="PT36" t="s">
        <v>488</v>
      </c>
      <c r="PU36" t="s">
        <v>497</v>
      </c>
      <c r="PV36">
        <v>0</v>
      </c>
      <c r="PW36">
        <v>0</v>
      </c>
      <c r="PX36">
        <v>0</v>
      </c>
      <c r="PY36" t="s">
        <v>493</v>
      </c>
      <c r="PZ36" t="s">
        <v>493</v>
      </c>
      <c r="QA36">
        <v>90</v>
      </c>
      <c r="QB36">
        <v>10</v>
      </c>
      <c r="QC36">
        <v>100</v>
      </c>
      <c r="QD36">
        <v>0</v>
      </c>
      <c r="QE36" t="s">
        <v>508</v>
      </c>
      <c r="QZ36">
        <v>0</v>
      </c>
      <c r="RA36">
        <v>0.15</v>
      </c>
      <c r="RB36" t="s">
        <v>489</v>
      </c>
      <c r="RC36" t="s">
        <v>490</v>
      </c>
      <c r="RD36" t="s">
        <v>490</v>
      </c>
      <c r="RE36" t="s">
        <v>490</v>
      </c>
      <c r="RF36" t="s">
        <v>490</v>
      </c>
      <c r="RG36" t="s">
        <v>490</v>
      </c>
      <c r="RH36" t="s">
        <v>490</v>
      </c>
      <c r="RI36" t="s">
        <v>490</v>
      </c>
    </row>
    <row r="37" spans="1:486">
      <c r="A37">
        <v>1004389</v>
      </c>
      <c r="B37" t="s">
        <v>503</v>
      </c>
      <c r="C37" t="s">
        <v>972</v>
      </c>
      <c r="D37" t="s">
        <v>518</v>
      </c>
      <c r="E37" t="s">
        <v>500</v>
      </c>
      <c r="F37" t="s">
        <v>505</v>
      </c>
      <c r="G37">
        <v>2.2999999999999998</v>
      </c>
      <c r="H37" t="s">
        <v>487</v>
      </c>
      <c r="I37" t="s">
        <v>487</v>
      </c>
      <c r="J37" t="s">
        <v>488</v>
      </c>
      <c r="K37" t="s">
        <v>488</v>
      </c>
      <c r="L37" t="s">
        <v>489</v>
      </c>
      <c r="M37" t="s">
        <v>489</v>
      </c>
      <c r="N37" t="s">
        <v>490</v>
      </c>
      <c r="O37" t="s">
        <v>489</v>
      </c>
      <c r="P37" t="s">
        <v>490</v>
      </c>
      <c r="Q37" t="s">
        <v>490</v>
      </c>
      <c r="R37" t="s">
        <v>490</v>
      </c>
      <c r="S37" t="s">
        <v>490</v>
      </c>
      <c r="T37" t="s">
        <v>490</v>
      </c>
      <c r="U37" t="s">
        <v>490</v>
      </c>
      <c r="V37" t="s">
        <v>489</v>
      </c>
      <c r="W37" t="s">
        <v>489</v>
      </c>
      <c r="X37" t="s">
        <v>490</v>
      </c>
      <c r="Y37" t="s">
        <v>490</v>
      </c>
      <c r="Z37" t="s">
        <v>490</v>
      </c>
      <c r="AA37" t="s">
        <v>490</v>
      </c>
      <c r="AB37" t="s">
        <v>489</v>
      </c>
      <c r="AC37" t="s">
        <v>489</v>
      </c>
      <c r="AD37" t="s">
        <v>490</v>
      </c>
      <c r="AE37" t="s">
        <v>490</v>
      </c>
      <c r="AF37" t="s">
        <v>490</v>
      </c>
      <c r="AG37" t="s">
        <v>490</v>
      </c>
      <c r="AH37" t="s">
        <v>489</v>
      </c>
      <c r="AI37" t="s">
        <v>489</v>
      </c>
      <c r="AJ37" t="s">
        <v>490</v>
      </c>
      <c r="AK37" t="s">
        <v>490</v>
      </c>
      <c r="AL37" t="s">
        <v>490</v>
      </c>
      <c r="AM37" t="s">
        <v>490</v>
      </c>
      <c r="AN37" t="s">
        <v>489</v>
      </c>
      <c r="AO37" t="s">
        <v>490</v>
      </c>
      <c r="AP37" t="s">
        <v>490</v>
      </c>
      <c r="AQ37" t="s">
        <v>489</v>
      </c>
      <c r="AR37" t="s">
        <v>490</v>
      </c>
      <c r="AS37" t="s">
        <v>490</v>
      </c>
      <c r="AT37" t="s">
        <v>489</v>
      </c>
      <c r="AU37" t="s">
        <v>490</v>
      </c>
      <c r="AV37" t="s">
        <v>490</v>
      </c>
      <c r="AW37" t="s">
        <v>489</v>
      </c>
      <c r="AX37" t="s">
        <v>489</v>
      </c>
      <c r="AY37" t="s">
        <v>490</v>
      </c>
      <c r="AZ37" t="s">
        <v>490</v>
      </c>
      <c r="BA37" t="s">
        <v>489</v>
      </c>
      <c r="BB37" t="s">
        <v>490</v>
      </c>
      <c r="BC37" t="s">
        <v>490</v>
      </c>
      <c r="BD37" t="s">
        <v>489</v>
      </c>
      <c r="BE37" t="s">
        <v>490</v>
      </c>
      <c r="BF37" t="s">
        <v>490</v>
      </c>
      <c r="BG37" t="s">
        <v>489</v>
      </c>
      <c r="BH37" t="s">
        <v>490</v>
      </c>
      <c r="BI37" t="s">
        <v>490</v>
      </c>
      <c r="BJ37" t="s">
        <v>489</v>
      </c>
      <c r="BK37" t="s">
        <v>490</v>
      </c>
      <c r="BL37" t="s">
        <v>490</v>
      </c>
      <c r="BM37" t="s">
        <v>489</v>
      </c>
      <c r="BN37" t="s">
        <v>490</v>
      </c>
      <c r="BO37" t="s">
        <v>490</v>
      </c>
      <c r="BP37" t="s">
        <v>489</v>
      </c>
      <c r="BQ37" t="s">
        <v>490</v>
      </c>
      <c r="BR37" t="s">
        <v>490</v>
      </c>
      <c r="BS37" t="s">
        <v>490</v>
      </c>
      <c r="BT37" t="s">
        <v>490</v>
      </c>
      <c r="BU37" t="s">
        <v>489</v>
      </c>
      <c r="CB37" t="s">
        <v>490</v>
      </c>
      <c r="CC37" t="s">
        <v>490</v>
      </c>
      <c r="CD37" t="s">
        <v>489</v>
      </c>
      <c r="CE37" t="s">
        <v>490</v>
      </c>
      <c r="CF37" t="s">
        <v>490</v>
      </c>
      <c r="CG37" t="s">
        <v>489</v>
      </c>
      <c r="CH37" t="s">
        <v>489</v>
      </c>
      <c r="CI37" t="s">
        <v>490</v>
      </c>
      <c r="CJ37" t="s">
        <v>490</v>
      </c>
      <c r="CK37" t="s">
        <v>489</v>
      </c>
      <c r="CL37" t="s">
        <v>490</v>
      </c>
      <c r="CM37" t="s">
        <v>490</v>
      </c>
      <c r="CN37" t="s">
        <v>489</v>
      </c>
      <c r="CO37" t="s">
        <v>490</v>
      </c>
      <c r="CP37" t="s">
        <v>490</v>
      </c>
      <c r="EY37">
        <v>95</v>
      </c>
      <c r="EZ37">
        <v>0</v>
      </c>
      <c r="FA37">
        <v>5</v>
      </c>
      <c r="FB37" t="s">
        <v>543</v>
      </c>
      <c r="OH37" s="15">
        <v>4</v>
      </c>
      <c r="OI37" s="15">
        <v>5</v>
      </c>
      <c r="OJ37" s="15">
        <v>6</v>
      </c>
      <c r="OK37" s="15">
        <v>5</v>
      </c>
      <c r="OL37" s="15">
        <v>8</v>
      </c>
      <c r="OM37" s="15">
        <v>8</v>
      </c>
      <c r="ON37" s="15">
        <v>4</v>
      </c>
      <c r="OO37" s="15">
        <v>5</v>
      </c>
      <c r="OQ37" t="s">
        <v>488</v>
      </c>
      <c r="OR37" t="s">
        <v>488</v>
      </c>
      <c r="OY37">
        <v>0</v>
      </c>
      <c r="OZ37">
        <v>0</v>
      </c>
      <c r="PA37">
        <v>0</v>
      </c>
      <c r="PB37">
        <v>0</v>
      </c>
      <c r="PC37">
        <v>0</v>
      </c>
      <c r="PD37">
        <v>0</v>
      </c>
      <c r="PE37">
        <v>0</v>
      </c>
      <c r="PF37">
        <v>0</v>
      </c>
      <c r="PG37">
        <v>0</v>
      </c>
      <c r="PH37">
        <v>0</v>
      </c>
      <c r="PI37">
        <v>5</v>
      </c>
      <c r="PJ37">
        <v>5</v>
      </c>
      <c r="PK37">
        <v>0</v>
      </c>
      <c r="PL37">
        <v>0</v>
      </c>
      <c r="PM37">
        <v>0</v>
      </c>
      <c r="PN37">
        <v>0</v>
      </c>
      <c r="PO37">
        <v>0</v>
      </c>
      <c r="PP37">
        <v>0</v>
      </c>
      <c r="PQ37">
        <v>0</v>
      </c>
      <c r="PR37">
        <v>0</v>
      </c>
      <c r="PT37" t="s">
        <v>488</v>
      </c>
      <c r="PU37" t="s">
        <v>497</v>
      </c>
      <c r="PV37">
        <v>0</v>
      </c>
      <c r="PW37">
        <v>0</v>
      </c>
      <c r="PX37">
        <v>0</v>
      </c>
      <c r="PY37" t="s">
        <v>493</v>
      </c>
      <c r="PZ37" t="s">
        <v>493</v>
      </c>
      <c r="QA37">
        <v>1</v>
      </c>
      <c r="QB37">
        <v>99</v>
      </c>
      <c r="QC37">
        <v>99</v>
      </c>
      <c r="QD37">
        <v>1</v>
      </c>
      <c r="QE37" t="s">
        <v>508</v>
      </c>
      <c r="QZ37">
        <v>0</v>
      </c>
      <c r="RA37">
        <v>2</v>
      </c>
      <c r="RB37" t="s">
        <v>489</v>
      </c>
      <c r="RC37" t="s">
        <v>490</v>
      </c>
      <c r="RD37" t="s">
        <v>490</v>
      </c>
      <c r="RE37" t="s">
        <v>489</v>
      </c>
      <c r="RF37" t="s">
        <v>490</v>
      </c>
      <c r="RG37" t="s">
        <v>490</v>
      </c>
      <c r="RH37" t="s">
        <v>490</v>
      </c>
      <c r="RI37" t="s">
        <v>490</v>
      </c>
    </row>
    <row r="38" spans="1:486">
      <c r="A38">
        <v>1004443</v>
      </c>
      <c r="B38" t="s">
        <v>503</v>
      </c>
      <c r="C38" t="s">
        <v>972</v>
      </c>
      <c r="D38" t="s">
        <v>518</v>
      </c>
      <c r="E38" t="s">
        <v>500</v>
      </c>
      <c r="F38" t="s">
        <v>496</v>
      </c>
      <c r="G38">
        <v>23</v>
      </c>
      <c r="H38" t="s">
        <v>487</v>
      </c>
      <c r="I38" t="s">
        <v>487</v>
      </c>
      <c r="J38" t="s">
        <v>487</v>
      </c>
      <c r="K38" t="s">
        <v>488</v>
      </c>
      <c r="L38" t="s">
        <v>489</v>
      </c>
      <c r="M38" t="s">
        <v>489</v>
      </c>
      <c r="N38" t="s">
        <v>489</v>
      </c>
      <c r="O38" t="s">
        <v>489</v>
      </c>
      <c r="P38" t="s">
        <v>490</v>
      </c>
      <c r="Q38" t="s">
        <v>489</v>
      </c>
      <c r="R38" t="s">
        <v>489</v>
      </c>
      <c r="S38" t="s">
        <v>490</v>
      </c>
      <c r="T38" t="s">
        <v>489</v>
      </c>
      <c r="U38" t="s">
        <v>490</v>
      </c>
      <c r="V38" t="s">
        <v>490</v>
      </c>
      <c r="W38" t="s">
        <v>489</v>
      </c>
      <c r="X38" t="s">
        <v>490</v>
      </c>
      <c r="Y38" t="s">
        <v>490</v>
      </c>
      <c r="Z38" t="s">
        <v>490</v>
      </c>
      <c r="AA38" t="s">
        <v>490</v>
      </c>
      <c r="AB38" t="s">
        <v>489</v>
      </c>
      <c r="AC38" t="s">
        <v>489</v>
      </c>
      <c r="AD38" t="s">
        <v>490</v>
      </c>
      <c r="AE38" t="s">
        <v>490</v>
      </c>
      <c r="AF38" t="s">
        <v>489</v>
      </c>
      <c r="AG38" t="s">
        <v>490</v>
      </c>
      <c r="AH38" t="s">
        <v>490</v>
      </c>
      <c r="AI38" t="s">
        <v>489</v>
      </c>
      <c r="AJ38" t="s">
        <v>490</v>
      </c>
      <c r="AK38" t="s">
        <v>490</v>
      </c>
      <c r="AL38" t="s">
        <v>490</v>
      </c>
      <c r="AM38" t="s">
        <v>490</v>
      </c>
      <c r="AN38" t="s">
        <v>489</v>
      </c>
      <c r="AO38" t="s">
        <v>489</v>
      </c>
      <c r="AP38" t="s">
        <v>490</v>
      </c>
      <c r="AQ38" t="s">
        <v>490</v>
      </c>
      <c r="AR38" t="s">
        <v>490</v>
      </c>
      <c r="AS38" t="s">
        <v>490</v>
      </c>
      <c r="AT38" t="s">
        <v>489</v>
      </c>
      <c r="AU38" t="s">
        <v>489</v>
      </c>
      <c r="AV38" t="s">
        <v>490</v>
      </c>
      <c r="AW38" t="s">
        <v>490</v>
      </c>
      <c r="AX38" t="s">
        <v>489</v>
      </c>
      <c r="AY38" t="s">
        <v>489</v>
      </c>
      <c r="AZ38" t="s">
        <v>490</v>
      </c>
      <c r="BA38" t="s">
        <v>489</v>
      </c>
      <c r="BB38" t="s">
        <v>489</v>
      </c>
      <c r="BC38" t="s">
        <v>490</v>
      </c>
      <c r="BD38" t="s">
        <v>489</v>
      </c>
      <c r="BE38" t="s">
        <v>489</v>
      </c>
      <c r="BF38" t="s">
        <v>490</v>
      </c>
      <c r="BG38" t="s">
        <v>489</v>
      </c>
      <c r="BH38" t="s">
        <v>489</v>
      </c>
      <c r="BI38" t="s">
        <v>490</v>
      </c>
      <c r="BJ38" t="s">
        <v>489</v>
      </c>
      <c r="BK38" t="s">
        <v>489</v>
      </c>
      <c r="BL38" t="s">
        <v>490</v>
      </c>
      <c r="BM38" t="s">
        <v>489</v>
      </c>
      <c r="BN38" t="s">
        <v>489</v>
      </c>
      <c r="BO38" t="s">
        <v>490</v>
      </c>
      <c r="BP38" t="s">
        <v>489</v>
      </c>
      <c r="BQ38" t="s">
        <v>490</v>
      </c>
      <c r="BR38" t="s">
        <v>490</v>
      </c>
      <c r="BS38" t="s">
        <v>489</v>
      </c>
      <c r="BT38" t="s">
        <v>489</v>
      </c>
      <c r="BU38" t="s">
        <v>490</v>
      </c>
      <c r="BV38" t="s">
        <v>489</v>
      </c>
      <c r="BW38" t="s">
        <v>489</v>
      </c>
      <c r="BX38" t="s">
        <v>490</v>
      </c>
      <c r="BY38" t="s">
        <v>489</v>
      </c>
      <c r="BZ38" t="s">
        <v>489</v>
      </c>
      <c r="CA38" t="s">
        <v>490</v>
      </c>
      <c r="CB38" t="s">
        <v>489</v>
      </c>
      <c r="CC38" t="s">
        <v>490</v>
      </c>
      <c r="CD38" t="s">
        <v>490</v>
      </c>
      <c r="CE38" t="s">
        <v>489</v>
      </c>
      <c r="CF38" t="s">
        <v>490</v>
      </c>
      <c r="CG38" t="s">
        <v>490</v>
      </c>
      <c r="CH38" t="s">
        <v>489</v>
      </c>
      <c r="CI38" t="s">
        <v>490</v>
      </c>
      <c r="CJ38" t="s">
        <v>490</v>
      </c>
      <c r="CK38" t="s">
        <v>489</v>
      </c>
      <c r="CL38" t="s">
        <v>490</v>
      </c>
      <c r="CM38" t="s">
        <v>490</v>
      </c>
      <c r="CN38" t="s">
        <v>489</v>
      </c>
      <c r="CO38" t="s">
        <v>490</v>
      </c>
      <c r="CP38" t="s">
        <v>490</v>
      </c>
      <c r="CW38" t="s">
        <v>489</v>
      </c>
      <c r="CX38" t="s">
        <v>490</v>
      </c>
      <c r="CY38" t="s">
        <v>490</v>
      </c>
      <c r="CZ38" t="s">
        <v>490</v>
      </c>
      <c r="DA38" t="s">
        <v>490</v>
      </c>
      <c r="DB38" t="s">
        <v>489</v>
      </c>
      <c r="DC38" t="s">
        <v>490</v>
      </c>
      <c r="DD38" t="s">
        <v>490</v>
      </c>
      <c r="DE38" t="s">
        <v>489</v>
      </c>
      <c r="DF38" t="s">
        <v>489</v>
      </c>
      <c r="DG38" t="s">
        <v>490</v>
      </c>
      <c r="DH38" t="s">
        <v>490</v>
      </c>
      <c r="DI38" t="s">
        <v>489</v>
      </c>
      <c r="DJ38" t="s">
        <v>490</v>
      </c>
      <c r="DK38" t="s">
        <v>490</v>
      </c>
      <c r="DL38" t="s">
        <v>489</v>
      </c>
      <c r="DM38" t="s">
        <v>489</v>
      </c>
      <c r="DN38" t="s">
        <v>490</v>
      </c>
      <c r="DO38" t="s">
        <v>490</v>
      </c>
      <c r="DP38" t="s">
        <v>490</v>
      </c>
      <c r="DQ38" t="s">
        <v>489</v>
      </c>
      <c r="DR38" t="s">
        <v>489</v>
      </c>
      <c r="DS38" t="s">
        <v>490</v>
      </c>
      <c r="DT38" t="s">
        <v>490</v>
      </c>
      <c r="DU38" t="s">
        <v>489</v>
      </c>
      <c r="DV38" t="s">
        <v>490</v>
      </c>
      <c r="DW38" t="s">
        <v>490</v>
      </c>
      <c r="DX38" t="s">
        <v>489</v>
      </c>
      <c r="DY38" t="s">
        <v>490</v>
      </c>
      <c r="DZ38" t="s">
        <v>490</v>
      </c>
      <c r="EY38">
        <v>99</v>
      </c>
      <c r="EZ38">
        <v>20</v>
      </c>
      <c r="FA38">
        <v>20</v>
      </c>
      <c r="FB38" t="s">
        <v>543</v>
      </c>
      <c r="OH38" s="15">
        <v>5</v>
      </c>
      <c r="OI38" s="15">
        <v>10</v>
      </c>
      <c r="OJ38" s="15">
        <v>6</v>
      </c>
      <c r="OK38" s="15">
        <v>4</v>
      </c>
      <c r="OL38" s="15">
        <v>5</v>
      </c>
      <c r="OM38" s="15">
        <v>3</v>
      </c>
      <c r="ON38" s="15">
        <v>1</v>
      </c>
      <c r="OO38" s="15">
        <v>1</v>
      </c>
      <c r="OQ38" t="s">
        <v>487</v>
      </c>
      <c r="OR38" t="s">
        <v>488</v>
      </c>
      <c r="OY38">
        <v>5</v>
      </c>
      <c r="OZ38">
        <v>0</v>
      </c>
      <c r="PA38">
        <v>15</v>
      </c>
      <c r="PB38">
        <v>15</v>
      </c>
      <c r="PC38">
        <v>15</v>
      </c>
      <c r="PD38">
        <v>5</v>
      </c>
      <c r="PE38">
        <v>0</v>
      </c>
      <c r="PF38">
        <v>0</v>
      </c>
      <c r="PG38">
        <v>15</v>
      </c>
      <c r="PH38">
        <v>0</v>
      </c>
      <c r="PI38">
        <v>5</v>
      </c>
      <c r="PJ38">
        <v>10</v>
      </c>
      <c r="PK38">
        <v>25</v>
      </c>
      <c r="PL38">
        <v>25</v>
      </c>
      <c r="PM38">
        <v>25</v>
      </c>
      <c r="PN38">
        <v>30</v>
      </c>
      <c r="PO38">
        <v>5</v>
      </c>
      <c r="PP38">
        <v>10</v>
      </c>
      <c r="PQ38">
        <v>25</v>
      </c>
      <c r="PR38">
        <v>0</v>
      </c>
      <c r="PT38" t="s">
        <v>488</v>
      </c>
      <c r="PU38" t="s">
        <v>497</v>
      </c>
      <c r="PV38">
        <v>90000</v>
      </c>
      <c r="PW38">
        <v>0</v>
      </c>
      <c r="PX38">
        <v>90000</v>
      </c>
      <c r="PY38" t="s">
        <v>493</v>
      </c>
      <c r="PZ38" t="s">
        <v>493</v>
      </c>
      <c r="QA38">
        <v>15</v>
      </c>
      <c r="QB38">
        <v>85</v>
      </c>
      <c r="QC38">
        <v>80</v>
      </c>
      <c r="QD38">
        <v>20</v>
      </c>
      <c r="QE38" t="s">
        <v>508</v>
      </c>
      <c r="QZ38">
        <v>1.8</v>
      </c>
      <c r="RA38">
        <v>10</v>
      </c>
      <c r="RB38" t="s">
        <v>489</v>
      </c>
      <c r="RC38" t="s">
        <v>490</v>
      </c>
      <c r="RD38" t="s">
        <v>490</v>
      </c>
      <c r="RE38" t="s">
        <v>489</v>
      </c>
      <c r="RF38" t="s">
        <v>489</v>
      </c>
      <c r="RG38" t="s">
        <v>490</v>
      </c>
      <c r="RH38" t="s">
        <v>490</v>
      </c>
      <c r="RI38" t="s">
        <v>490</v>
      </c>
    </row>
    <row r="39" spans="1:486">
      <c r="A39">
        <v>11919</v>
      </c>
      <c r="B39" t="s">
        <v>503</v>
      </c>
      <c r="C39" t="s">
        <v>972</v>
      </c>
      <c r="D39" t="s">
        <v>518</v>
      </c>
      <c r="E39" t="s">
        <v>500</v>
      </c>
      <c r="F39" t="s">
        <v>505</v>
      </c>
      <c r="G39">
        <v>62</v>
      </c>
      <c r="H39" t="s">
        <v>487</v>
      </c>
      <c r="I39" t="s">
        <v>487</v>
      </c>
      <c r="J39" t="s">
        <v>487</v>
      </c>
      <c r="K39" t="s">
        <v>488</v>
      </c>
      <c r="L39" t="s">
        <v>489</v>
      </c>
      <c r="M39" t="s">
        <v>489</v>
      </c>
      <c r="N39" t="s">
        <v>489</v>
      </c>
      <c r="O39" t="s">
        <v>489</v>
      </c>
      <c r="P39" t="s">
        <v>489</v>
      </c>
      <c r="Q39" t="s">
        <v>489</v>
      </c>
      <c r="R39" t="s">
        <v>489</v>
      </c>
      <c r="S39" t="s">
        <v>489</v>
      </c>
      <c r="T39" t="s">
        <v>489</v>
      </c>
      <c r="U39" t="s">
        <v>490</v>
      </c>
      <c r="V39" t="s">
        <v>490</v>
      </c>
      <c r="W39" t="s">
        <v>489</v>
      </c>
      <c r="X39" t="s">
        <v>490</v>
      </c>
      <c r="Y39" t="s">
        <v>490</v>
      </c>
      <c r="Z39" t="s">
        <v>490</v>
      </c>
      <c r="AA39" t="s">
        <v>490</v>
      </c>
      <c r="AB39" t="s">
        <v>489</v>
      </c>
      <c r="AC39" t="s">
        <v>489</v>
      </c>
      <c r="AD39" t="s">
        <v>490</v>
      </c>
      <c r="AE39" t="s">
        <v>490</v>
      </c>
      <c r="AF39" t="s">
        <v>489</v>
      </c>
      <c r="AG39" t="s">
        <v>490</v>
      </c>
      <c r="AH39" t="s">
        <v>490</v>
      </c>
      <c r="AI39" t="s">
        <v>489</v>
      </c>
      <c r="AJ39" t="s">
        <v>490</v>
      </c>
      <c r="AK39" t="s">
        <v>490</v>
      </c>
      <c r="AL39" t="s">
        <v>490</v>
      </c>
      <c r="AM39" t="s">
        <v>490</v>
      </c>
      <c r="AN39" t="s">
        <v>489</v>
      </c>
      <c r="AO39" t="s">
        <v>489</v>
      </c>
      <c r="AP39" t="s">
        <v>490</v>
      </c>
      <c r="AQ39" t="s">
        <v>490</v>
      </c>
      <c r="AR39" t="s">
        <v>490</v>
      </c>
      <c r="AS39" t="s">
        <v>490</v>
      </c>
      <c r="AT39" t="s">
        <v>489</v>
      </c>
      <c r="AU39" t="s">
        <v>490</v>
      </c>
      <c r="AV39" t="s">
        <v>490</v>
      </c>
      <c r="AW39" t="s">
        <v>489</v>
      </c>
      <c r="AX39" t="s">
        <v>489</v>
      </c>
      <c r="AY39" t="s">
        <v>489</v>
      </c>
      <c r="AZ39" t="s">
        <v>490</v>
      </c>
      <c r="BA39" t="s">
        <v>489</v>
      </c>
      <c r="BB39" t="s">
        <v>489</v>
      </c>
      <c r="BC39" t="s">
        <v>490</v>
      </c>
      <c r="BD39" t="s">
        <v>489</v>
      </c>
      <c r="BE39" t="s">
        <v>489</v>
      </c>
      <c r="BF39" t="s">
        <v>490</v>
      </c>
      <c r="BG39" t="s">
        <v>489</v>
      </c>
      <c r="BH39" t="s">
        <v>489</v>
      </c>
      <c r="BI39" t="s">
        <v>490</v>
      </c>
      <c r="BJ39" t="s">
        <v>489</v>
      </c>
      <c r="BK39" t="s">
        <v>489</v>
      </c>
      <c r="BL39" t="s">
        <v>490</v>
      </c>
      <c r="BM39" t="s">
        <v>489</v>
      </c>
      <c r="BN39" t="s">
        <v>490</v>
      </c>
      <c r="BO39" t="s">
        <v>490</v>
      </c>
      <c r="BP39" t="s">
        <v>490</v>
      </c>
      <c r="BQ39" t="s">
        <v>490</v>
      </c>
      <c r="BR39" t="s">
        <v>489</v>
      </c>
      <c r="BS39" t="s">
        <v>490</v>
      </c>
      <c r="BT39" t="s">
        <v>490</v>
      </c>
      <c r="BU39" t="s">
        <v>489</v>
      </c>
      <c r="BV39" t="s">
        <v>490</v>
      </c>
      <c r="BW39" t="s">
        <v>490</v>
      </c>
      <c r="BX39" t="s">
        <v>489</v>
      </c>
      <c r="BY39" t="s">
        <v>489</v>
      </c>
      <c r="BZ39" t="s">
        <v>490</v>
      </c>
      <c r="CA39" t="s">
        <v>490</v>
      </c>
      <c r="CB39" t="s">
        <v>489</v>
      </c>
      <c r="CC39" t="s">
        <v>489</v>
      </c>
      <c r="CD39" t="s">
        <v>490</v>
      </c>
      <c r="CE39" t="s">
        <v>489</v>
      </c>
      <c r="CF39" t="s">
        <v>489</v>
      </c>
      <c r="CG39" t="s">
        <v>490</v>
      </c>
      <c r="CH39" t="s">
        <v>489</v>
      </c>
      <c r="CI39" t="s">
        <v>489</v>
      </c>
      <c r="CJ39" t="s">
        <v>490</v>
      </c>
      <c r="CK39" t="s">
        <v>489</v>
      </c>
      <c r="CL39" t="s">
        <v>489</v>
      </c>
      <c r="CM39" t="s">
        <v>490</v>
      </c>
      <c r="CN39" t="s">
        <v>489</v>
      </c>
      <c r="CO39" t="s">
        <v>489</v>
      </c>
      <c r="CP39" t="s">
        <v>490</v>
      </c>
      <c r="CQ39" t="s">
        <v>489</v>
      </c>
      <c r="CR39" t="s">
        <v>489</v>
      </c>
      <c r="CS39" t="s">
        <v>490</v>
      </c>
      <c r="CT39" t="s">
        <v>489</v>
      </c>
      <c r="CU39" t="s">
        <v>489</v>
      </c>
      <c r="CV39" t="s">
        <v>490</v>
      </c>
      <c r="CW39" t="s">
        <v>489</v>
      </c>
      <c r="CX39" t="s">
        <v>489</v>
      </c>
      <c r="CY39" t="s">
        <v>490</v>
      </c>
      <c r="CZ39" t="s">
        <v>490</v>
      </c>
      <c r="DA39" t="s">
        <v>490</v>
      </c>
      <c r="DB39" t="s">
        <v>489</v>
      </c>
      <c r="DC39" t="s">
        <v>490</v>
      </c>
      <c r="DD39" t="s">
        <v>490</v>
      </c>
      <c r="DE39" t="s">
        <v>489</v>
      </c>
      <c r="DF39" t="s">
        <v>490</v>
      </c>
      <c r="DG39" t="s">
        <v>490</v>
      </c>
      <c r="DH39" t="s">
        <v>489</v>
      </c>
      <c r="DI39" t="s">
        <v>490</v>
      </c>
      <c r="DJ39" t="s">
        <v>490</v>
      </c>
      <c r="DK39" t="s">
        <v>489</v>
      </c>
      <c r="DL39" t="s">
        <v>489</v>
      </c>
      <c r="DM39" t="s">
        <v>490</v>
      </c>
      <c r="DN39" t="s">
        <v>490</v>
      </c>
      <c r="DO39" t="s">
        <v>490</v>
      </c>
      <c r="DP39" t="s">
        <v>490</v>
      </c>
      <c r="DQ39" t="s">
        <v>489</v>
      </c>
      <c r="DR39" t="s">
        <v>489</v>
      </c>
      <c r="DS39" t="s">
        <v>489</v>
      </c>
      <c r="DT39" t="s">
        <v>490</v>
      </c>
      <c r="DU39" t="s">
        <v>489</v>
      </c>
      <c r="DV39" t="s">
        <v>489</v>
      </c>
      <c r="DW39" t="s">
        <v>490</v>
      </c>
      <c r="DX39" t="s">
        <v>490</v>
      </c>
      <c r="DY39" t="s">
        <v>490</v>
      </c>
      <c r="DZ39" t="s">
        <v>489</v>
      </c>
      <c r="EA39" t="s">
        <v>490</v>
      </c>
      <c r="EB39" t="s">
        <v>489</v>
      </c>
      <c r="EC39" t="s">
        <v>490</v>
      </c>
      <c r="ED39" t="s">
        <v>490</v>
      </c>
      <c r="EE39" t="s">
        <v>489</v>
      </c>
      <c r="EF39" t="s">
        <v>490</v>
      </c>
      <c r="EG39" t="s">
        <v>490</v>
      </c>
      <c r="EH39" t="s">
        <v>490</v>
      </c>
      <c r="EI39" t="s">
        <v>489</v>
      </c>
      <c r="EJ39" t="s">
        <v>490</v>
      </c>
      <c r="EK39" t="s">
        <v>490</v>
      </c>
      <c r="EL39" t="s">
        <v>489</v>
      </c>
      <c r="EM39" t="s">
        <v>490</v>
      </c>
      <c r="EN39" t="s">
        <v>490</v>
      </c>
      <c r="EO39" t="s">
        <v>489</v>
      </c>
      <c r="EP39" t="s">
        <v>490</v>
      </c>
      <c r="EQ39" t="s">
        <v>490</v>
      </c>
      <c r="ER39" t="s">
        <v>489</v>
      </c>
      <c r="ES39" t="s">
        <v>490</v>
      </c>
      <c r="ET39" t="s">
        <v>490</v>
      </c>
      <c r="EU39" t="s">
        <v>489</v>
      </c>
      <c r="EV39" t="s">
        <v>490</v>
      </c>
      <c r="EW39" t="s">
        <v>490</v>
      </c>
      <c r="EX39" t="s">
        <v>489</v>
      </c>
      <c r="EY39">
        <v>95</v>
      </c>
      <c r="EZ39">
        <v>5</v>
      </c>
      <c r="FA39">
        <v>95</v>
      </c>
      <c r="FB39" t="s">
        <v>543</v>
      </c>
      <c r="OH39" s="15">
        <v>6</v>
      </c>
      <c r="OI39" s="15">
        <v>1</v>
      </c>
      <c r="OJ39" s="15">
        <v>5</v>
      </c>
      <c r="OK39" s="15">
        <v>1</v>
      </c>
      <c r="OL39" s="15">
        <v>5</v>
      </c>
      <c r="OM39" s="15">
        <v>5</v>
      </c>
      <c r="ON39" s="15">
        <v>1</v>
      </c>
      <c r="OO39" s="15">
        <v>10</v>
      </c>
      <c r="OQ39" t="s">
        <v>488</v>
      </c>
      <c r="OR39" t="s">
        <v>488</v>
      </c>
      <c r="OY39">
        <v>0</v>
      </c>
      <c r="OZ39">
        <v>0</v>
      </c>
      <c r="PA39">
        <v>0</v>
      </c>
      <c r="PB39">
        <v>0</v>
      </c>
      <c r="PC39">
        <v>0</v>
      </c>
      <c r="PD39">
        <v>0</v>
      </c>
      <c r="PE39">
        <v>0</v>
      </c>
      <c r="PF39">
        <v>0</v>
      </c>
      <c r="PG39">
        <v>0</v>
      </c>
      <c r="PH39">
        <v>80</v>
      </c>
      <c r="PI39">
        <v>0</v>
      </c>
      <c r="PJ39">
        <v>0</v>
      </c>
      <c r="PK39">
        <v>0</v>
      </c>
      <c r="PL39">
        <v>0</v>
      </c>
      <c r="PM39">
        <v>0</v>
      </c>
      <c r="PN39">
        <v>0</v>
      </c>
      <c r="PO39">
        <v>0</v>
      </c>
      <c r="PP39">
        <v>0</v>
      </c>
      <c r="PQ39">
        <v>0</v>
      </c>
      <c r="PR39">
        <v>95</v>
      </c>
      <c r="PS39" t="s">
        <v>610</v>
      </c>
      <c r="PT39" t="s">
        <v>488</v>
      </c>
      <c r="PU39" t="s">
        <v>497</v>
      </c>
      <c r="PV39">
        <v>407</v>
      </c>
      <c r="PW39">
        <v>0</v>
      </c>
      <c r="PX39">
        <v>407</v>
      </c>
      <c r="PY39" t="s">
        <v>493</v>
      </c>
      <c r="PZ39" t="s">
        <v>493</v>
      </c>
      <c r="RL39" t="s">
        <v>611</v>
      </c>
    </row>
    <row r="40" spans="1:486">
      <c r="A40">
        <v>1003490</v>
      </c>
      <c r="B40" t="s">
        <v>503</v>
      </c>
      <c r="C40" t="s">
        <v>972</v>
      </c>
      <c r="D40" t="s">
        <v>518</v>
      </c>
      <c r="E40" t="s">
        <v>500</v>
      </c>
      <c r="F40" t="s">
        <v>505</v>
      </c>
      <c r="G40">
        <v>0.8</v>
      </c>
      <c r="H40" t="s">
        <v>487</v>
      </c>
      <c r="I40" t="s">
        <v>487</v>
      </c>
      <c r="J40" t="s">
        <v>488</v>
      </c>
      <c r="K40" t="s">
        <v>488</v>
      </c>
      <c r="L40" t="s">
        <v>489</v>
      </c>
      <c r="M40" t="s">
        <v>489</v>
      </c>
      <c r="N40" t="s">
        <v>490</v>
      </c>
      <c r="O40" t="s">
        <v>489</v>
      </c>
      <c r="P40" t="s">
        <v>490</v>
      </c>
      <c r="Q40" t="s">
        <v>490</v>
      </c>
      <c r="R40" t="s">
        <v>489</v>
      </c>
      <c r="S40" t="s">
        <v>490</v>
      </c>
      <c r="T40" t="s">
        <v>490</v>
      </c>
      <c r="U40" t="s">
        <v>490</v>
      </c>
      <c r="V40" t="s">
        <v>489</v>
      </c>
      <c r="W40" t="s">
        <v>490</v>
      </c>
      <c r="X40" t="s">
        <v>490</v>
      </c>
      <c r="Y40" t="s">
        <v>489</v>
      </c>
      <c r="Z40" t="s">
        <v>490</v>
      </c>
      <c r="AA40" t="s">
        <v>490</v>
      </c>
      <c r="AB40" t="s">
        <v>489</v>
      </c>
      <c r="AC40" t="s">
        <v>489</v>
      </c>
      <c r="AD40" t="s">
        <v>490</v>
      </c>
      <c r="AE40" t="s">
        <v>490</v>
      </c>
      <c r="AF40" t="s">
        <v>490</v>
      </c>
      <c r="AG40" t="s">
        <v>490</v>
      </c>
      <c r="AH40" t="s">
        <v>489</v>
      </c>
      <c r="AI40" t="s">
        <v>490</v>
      </c>
      <c r="AJ40" t="s">
        <v>490</v>
      </c>
      <c r="AK40" t="s">
        <v>489</v>
      </c>
      <c r="AL40" t="s">
        <v>490</v>
      </c>
      <c r="AM40" t="s">
        <v>490</v>
      </c>
      <c r="AN40" t="s">
        <v>489</v>
      </c>
      <c r="AO40" t="s">
        <v>490</v>
      </c>
      <c r="AP40" t="s">
        <v>490</v>
      </c>
      <c r="AQ40" t="s">
        <v>489</v>
      </c>
      <c r="AR40" t="s">
        <v>490</v>
      </c>
      <c r="AS40" t="s">
        <v>490</v>
      </c>
      <c r="AT40" t="s">
        <v>489</v>
      </c>
      <c r="AU40" t="s">
        <v>489</v>
      </c>
      <c r="AV40" t="s">
        <v>490</v>
      </c>
      <c r="AW40" t="s">
        <v>490</v>
      </c>
      <c r="AX40" t="s">
        <v>489</v>
      </c>
      <c r="AY40" t="s">
        <v>490</v>
      </c>
      <c r="AZ40" t="s">
        <v>490</v>
      </c>
      <c r="BA40" t="s">
        <v>489</v>
      </c>
      <c r="BB40" t="s">
        <v>490</v>
      </c>
      <c r="BC40" t="s">
        <v>490</v>
      </c>
      <c r="BD40" t="s">
        <v>489</v>
      </c>
      <c r="BE40" t="s">
        <v>490</v>
      </c>
      <c r="BF40" t="s">
        <v>490</v>
      </c>
      <c r="BG40" t="s">
        <v>489</v>
      </c>
      <c r="BH40" t="s">
        <v>490</v>
      </c>
      <c r="BI40" t="s">
        <v>490</v>
      </c>
      <c r="BJ40" t="s">
        <v>489</v>
      </c>
      <c r="BK40" t="s">
        <v>490</v>
      </c>
      <c r="BL40" t="s">
        <v>490</v>
      </c>
      <c r="BM40" t="s">
        <v>489</v>
      </c>
      <c r="BN40" t="s">
        <v>490</v>
      </c>
      <c r="BO40" t="s">
        <v>490</v>
      </c>
      <c r="BP40" t="s">
        <v>490</v>
      </c>
      <c r="BQ40" t="s">
        <v>490</v>
      </c>
      <c r="BR40" t="s">
        <v>489</v>
      </c>
      <c r="BS40" t="s">
        <v>489</v>
      </c>
      <c r="BT40" t="s">
        <v>490</v>
      </c>
      <c r="BU40" t="s">
        <v>490</v>
      </c>
      <c r="CB40" t="s">
        <v>490</v>
      </c>
      <c r="CC40" t="s">
        <v>490</v>
      </c>
      <c r="CD40" t="s">
        <v>489</v>
      </c>
      <c r="CE40" t="s">
        <v>489</v>
      </c>
      <c r="CF40" t="s">
        <v>490</v>
      </c>
      <c r="CG40" t="s">
        <v>490</v>
      </c>
      <c r="CH40" t="s">
        <v>489</v>
      </c>
      <c r="CI40" t="s">
        <v>490</v>
      </c>
      <c r="CJ40" t="s">
        <v>490</v>
      </c>
      <c r="CK40" t="s">
        <v>489</v>
      </c>
      <c r="CL40" t="s">
        <v>490</v>
      </c>
      <c r="CM40" t="s">
        <v>490</v>
      </c>
      <c r="CN40" t="s">
        <v>489</v>
      </c>
      <c r="CO40" t="s">
        <v>490</v>
      </c>
      <c r="CP40" t="s">
        <v>490</v>
      </c>
      <c r="DI40" t="s">
        <v>490</v>
      </c>
      <c r="DJ40" t="s">
        <v>490</v>
      </c>
      <c r="DK40" t="s">
        <v>489</v>
      </c>
      <c r="DL40" t="s">
        <v>490</v>
      </c>
      <c r="DM40" t="s">
        <v>489</v>
      </c>
      <c r="DN40" t="s">
        <v>490</v>
      </c>
      <c r="DO40" t="s">
        <v>490</v>
      </c>
      <c r="DP40" t="s">
        <v>490</v>
      </c>
      <c r="DQ40" t="s">
        <v>489</v>
      </c>
      <c r="DR40" t="s">
        <v>490</v>
      </c>
      <c r="DS40" t="s">
        <v>489</v>
      </c>
      <c r="DT40" t="s">
        <v>490</v>
      </c>
      <c r="DU40" t="s">
        <v>490</v>
      </c>
      <c r="DV40" t="s">
        <v>489</v>
      </c>
      <c r="DW40" t="s">
        <v>490</v>
      </c>
      <c r="DX40" t="s">
        <v>490</v>
      </c>
      <c r="DY40" t="s">
        <v>490</v>
      </c>
      <c r="DZ40" t="s">
        <v>489</v>
      </c>
      <c r="EY40">
        <v>90</v>
      </c>
      <c r="EZ40">
        <v>90</v>
      </c>
      <c r="FA40">
        <v>10</v>
      </c>
      <c r="FB40" t="s">
        <v>543</v>
      </c>
      <c r="OH40" s="15">
        <v>6</v>
      </c>
      <c r="OI40" s="15">
        <v>6</v>
      </c>
      <c r="OJ40" s="15">
        <v>8</v>
      </c>
      <c r="OK40" s="15">
        <v>1</v>
      </c>
      <c r="OL40" s="15">
        <v>8</v>
      </c>
      <c r="OM40" s="15">
        <v>8</v>
      </c>
      <c r="ON40" s="15">
        <v>1</v>
      </c>
      <c r="OO40" s="15">
        <v>1</v>
      </c>
      <c r="OQ40" t="s">
        <v>488</v>
      </c>
      <c r="OR40" t="s">
        <v>488</v>
      </c>
      <c r="OY40">
        <v>0</v>
      </c>
      <c r="OZ40">
        <v>0</v>
      </c>
      <c r="PA40">
        <v>0</v>
      </c>
      <c r="PB40">
        <v>0</v>
      </c>
      <c r="PC40">
        <v>0</v>
      </c>
      <c r="PD40">
        <v>0</v>
      </c>
      <c r="PE40">
        <v>0</v>
      </c>
      <c r="PF40">
        <v>0</v>
      </c>
      <c r="PG40">
        <v>0</v>
      </c>
      <c r="PH40">
        <v>0</v>
      </c>
      <c r="PI40">
        <v>0</v>
      </c>
      <c r="PJ40">
        <v>100</v>
      </c>
      <c r="PK40">
        <v>0</v>
      </c>
      <c r="PL40">
        <v>0</v>
      </c>
      <c r="PM40">
        <v>0</v>
      </c>
      <c r="PN40">
        <v>0</v>
      </c>
      <c r="PO40">
        <v>0</v>
      </c>
      <c r="PP40">
        <v>0</v>
      </c>
      <c r="PQ40">
        <v>0</v>
      </c>
      <c r="PR40">
        <v>0</v>
      </c>
      <c r="PT40" t="s">
        <v>488</v>
      </c>
      <c r="PU40" t="s">
        <v>497</v>
      </c>
      <c r="PV40">
        <v>0</v>
      </c>
      <c r="PW40">
        <v>0</v>
      </c>
      <c r="PX40">
        <v>0</v>
      </c>
      <c r="PY40" t="s">
        <v>493</v>
      </c>
      <c r="PZ40" t="s">
        <v>493</v>
      </c>
      <c r="QA40">
        <v>100</v>
      </c>
      <c r="QB40">
        <v>0</v>
      </c>
      <c r="QC40">
        <v>0</v>
      </c>
      <c r="QD40">
        <v>100</v>
      </c>
      <c r="QE40" t="s">
        <v>508</v>
      </c>
      <c r="QZ40">
        <v>0</v>
      </c>
      <c r="RA40">
        <v>2.5</v>
      </c>
      <c r="RB40" t="s">
        <v>489</v>
      </c>
      <c r="RC40" t="s">
        <v>490</v>
      </c>
      <c r="RD40" t="s">
        <v>490</v>
      </c>
      <c r="RE40" t="s">
        <v>490</v>
      </c>
      <c r="RF40" t="s">
        <v>490</v>
      </c>
      <c r="RG40" t="s">
        <v>490</v>
      </c>
      <c r="RH40" t="s">
        <v>490</v>
      </c>
      <c r="RI40" t="s">
        <v>490</v>
      </c>
    </row>
    <row r="41" spans="1:486">
      <c r="A41">
        <v>11465</v>
      </c>
      <c r="B41" t="s">
        <v>503</v>
      </c>
      <c r="C41" t="s">
        <v>972</v>
      </c>
      <c r="D41" t="s">
        <v>518</v>
      </c>
      <c r="E41" t="s">
        <v>500</v>
      </c>
      <c r="F41" t="s">
        <v>496</v>
      </c>
      <c r="G41">
        <v>30</v>
      </c>
      <c r="H41" t="s">
        <v>487</v>
      </c>
      <c r="I41" t="s">
        <v>487</v>
      </c>
      <c r="J41" t="s">
        <v>487</v>
      </c>
      <c r="K41" t="s">
        <v>488</v>
      </c>
      <c r="L41" t="s">
        <v>489</v>
      </c>
      <c r="M41" t="s">
        <v>489</v>
      </c>
      <c r="N41" t="s">
        <v>490</v>
      </c>
      <c r="O41" t="s">
        <v>489</v>
      </c>
      <c r="P41" t="s">
        <v>490</v>
      </c>
      <c r="Q41" t="s">
        <v>490</v>
      </c>
      <c r="R41" t="s">
        <v>489</v>
      </c>
      <c r="S41" t="s">
        <v>490</v>
      </c>
      <c r="T41" t="s">
        <v>489</v>
      </c>
      <c r="U41" t="s">
        <v>490</v>
      </c>
      <c r="V41" t="s">
        <v>490</v>
      </c>
      <c r="W41" t="s">
        <v>489</v>
      </c>
      <c r="X41" t="s">
        <v>490</v>
      </c>
      <c r="Y41" t="s">
        <v>490</v>
      </c>
      <c r="Z41" t="s">
        <v>490</v>
      </c>
      <c r="AA41" t="s">
        <v>490</v>
      </c>
      <c r="AB41" t="s">
        <v>489</v>
      </c>
      <c r="AC41" t="s">
        <v>490</v>
      </c>
      <c r="AD41" t="s">
        <v>490</v>
      </c>
      <c r="AE41" t="s">
        <v>489</v>
      </c>
      <c r="AF41" t="s">
        <v>489</v>
      </c>
      <c r="AG41" t="s">
        <v>490</v>
      </c>
      <c r="AH41" t="s">
        <v>490</v>
      </c>
      <c r="AI41" t="s">
        <v>489</v>
      </c>
      <c r="AJ41" t="s">
        <v>490</v>
      </c>
      <c r="AK41" t="s">
        <v>490</v>
      </c>
      <c r="AL41" t="s">
        <v>489</v>
      </c>
      <c r="AM41" t="s">
        <v>490</v>
      </c>
      <c r="AN41" t="s">
        <v>490</v>
      </c>
      <c r="AO41" t="s">
        <v>490</v>
      </c>
      <c r="AP41" t="s">
        <v>490</v>
      </c>
      <c r="AQ41" t="s">
        <v>489</v>
      </c>
      <c r="AR41" t="s">
        <v>490</v>
      </c>
      <c r="AS41" t="s">
        <v>490</v>
      </c>
      <c r="AT41" t="s">
        <v>489</v>
      </c>
      <c r="AU41" t="s">
        <v>490</v>
      </c>
      <c r="AV41" t="s">
        <v>490</v>
      </c>
      <c r="AW41" t="s">
        <v>489</v>
      </c>
      <c r="AX41" t="s">
        <v>489</v>
      </c>
      <c r="AY41" t="s">
        <v>489</v>
      </c>
      <c r="AZ41" t="s">
        <v>490</v>
      </c>
      <c r="BA41" t="s">
        <v>489</v>
      </c>
      <c r="BB41" t="s">
        <v>489</v>
      </c>
      <c r="BC41" t="s">
        <v>490</v>
      </c>
      <c r="BD41" t="s">
        <v>489</v>
      </c>
      <c r="BE41" t="s">
        <v>489</v>
      </c>
      <c r="BF41" t="s">
        <v>490</v>
      </c>
      <c r="BG41" t="s">
        <v>489</v>
      </c>
      <c r="BH41" t="s">
        <v>489</v>
      </c>
      <c r="BI41" t="s">
        <v>490</v>
      </c>
      <c r="BJ41" t="s">
        <v>489</v>
      </c>
      <c r="BK41" t="s">
        <v>489</v>
      </c>
      <c r="BL41" t="s">
        <v>490</v>
      </c>
      <c r="BM41" t="s">
        <v>490</v>
      </c>
      <c r="BN41" t="s">
        <v>490</v>
      </c>
      <c r="BO41" t="s">
        <v>489</v>
      </c>
      <c r="BP41" t="s">
        <v>490</v>
      </c>
      <c r="BQ41" t="s">
        <v>490</v>
      </c>
      <c r="BR41" t="s">
        <v>489</v>
      </c>
      <c r="BS41" t="s">
        <v>490</v>
      </c>
      <c r="BT41" t="s">
        <v>490</v>
      </c>
      <c r="BU41" t="s">
        <v>489</v>
      </c>
      <c r="CB41" t="s">
        <v>489</v>
      </c>
      <c r="CC41" t="s">
        <v>489</v>
      </c>
      <c r="CD41" t="s">
        <v>490</v>
      </c>
      <c r="CE41" t="s">
        <v>489</v>
      </c>
      <c r="CF41" t="s">
        <v>489</v>
      </c>
      <c r="CG41" t="s">
        <v>490</v>
      </c>
      <c r="CH41" t="s">
        <v>489</v>
      </c>
      <c r="CI41" t="s">
        <v>489</v>
      </c>
      <c r="CJ41" t="s">
        <v>490</v>
      </c>
      <c r="CK41" t="s">
        <v>489</v>
      </c>
      <c r="CL41" t="s">
        <v>489</v>
      </c>
      <c r="CM41" t="s">
        <v>490</v>
      </c>
      <c r="CN41" t="s">
        <v>489</v>
      </c>
      <c r="CO41" t="s">
        <v>489</v>
      </c>
      <c r="CP41" t="s">
        <v>490</v>
      </c>
      <c r="DI41" t="s">
        <v>490</v>
      </c>
      <c r="DJ41" t="s">
        <v>490</v>
      </c>
      <c r="DK41" t="s">
        <v>489</v>
      </c>
      <c r="DL41" t="s">
        <v>490</v>
      </c>
      <c r="DM41" t="s">
        <v>490</v>
      </c>
      <c r="DN41" t="s">
        <v>489</v>
      </c>
      <c r="DO41" t="s">
        <v>490</v>
      </c>
      <c r="DP41" t="s">
        <v>490</v>
      </c>
      <c r="DQ41" t="s">
        <v>489</v>
      </c>
      <c r="DR41" t="s">
        <v>489</v>
      </c>
      <c r="DS41" t="s">
        <v>489</v>
      </c>
      <c r="DT41" t="s">
        <v>490</v>
      </c>
      <c r="DU41" t="s">
        <v>489</v>
      </c>
      <c r="DV41" t="s">
        <v>489</v>
      </c>
      <c r="DW41" t="s">
        <v>490</v>
      </c>
      <c r="DX41" t="s">
        <v>490</v>
      </c>
      <c r="DY41" t="s">
        <v>490</v>
      </c>
      <c r="DZ41" t="s">
        <v>489</v>
      </c>
      <c r="EY41">
        <v>40</v>
      </c>
      <c r="EZ41">
        <v>35</v>
      </c>
      <c r="FA41">
        <v>65</v>
      </c>
      <c r="FB41" t="s">
        <v>543</v>
      </c>
      <c r="OH41" s="15">
        <v>7</v>
      </c>
      <c r="OI41" s="15">
        <v>2</v>
      </c>
      <c r="OJ41" s="15">
        <v>8</v>
      </c>
      <c r="OK41" s="15">
        <v>2</v>
      </c>
      <c r="OL41" s="15">
        <v>6</v>
      </c>
      <c r="OM41" s="15">
        <v>7</v>
      </c>
      <c r="ON41" s="15">
        <v>3</v>
      </c>
      <c r="OO41" s="15">
        <v>1</v>
      </c>
      <c r="OQ41" t="s">
        <v>488</v>
      </c>
      <c r="OR41" t="s">
        <v>488</v>
      </c>
      <c r="OY41">
        <v>40</v>
      </c>
      <c r="OZ41">
        <v>5</v>
      </c>
      <c r="PA41">
        <v>5</v>
      </c>
      <c r="PB41">
        <v>5</v>
      </c>
      <c r="PC41">
        <v>0</v>
      </c>
      <c r="PD41">
        <v>0</v>
      </c>
      <c r="PE41">
        <v>2</v>
      </c>
      <c r="PF41">
        <v>0</v>
      </c>
      <c r="PG41">
        <v>0</v>
      </c>
      <c r="PH41">
        <v>0</v>
      </c>
      <c r="PI41">
        <v>60</v>
      </c>
      <c r="PJ41">
        <v>10</v>
      </c>
      <c r="PK41">
        <v>10</v>
      </c>
      <c r="PL41">
        <v>10</v>
      </c>
      <c r="PM41">
        <v>0</v>
      </c>
      <c r="PN41">
        <v>0</v>
      </c>
      <c r="PO41">
        <v>4</v>
      </c>
      <c r="PP41">
        <v>0</v>
      </c>
      <c r="PQ41">
        <v>0</v>
      </c>
      <c r="PR41">
        <v>0</v>
      </c>
      <c r="PT41" t="s">
        <v>488</v>
      </c>
      <c r="PU41" t="s">
        <v>519</v>
      </c>
      <c r="PV41">
        <v>200000</v>
      </c>
      <c r="PW41">
        <v>0</v>
      </c>
      <c r="PX41">
        <v>200000</v>
      </c>
      <c r="PY41" t="s">
        <v>493</v>
      </c>
      <c r="PZ41" t="s">
        <v>493</v>
      </c>
      <c r="QA41">
        <v>20</v>
      </c>
      <c r="QB41">
        <v>80</v>
      </c>
      <c r="QC41">
        <v>90</v>
      </c>
      <c r="QD41">
        <v>10</v>
      </c>
      <c r="QE41" t="s">
        <v>508</v>
      </c>
      <c r="QZ41">
        <v>4</v>
      </c>
      <c r="RA41">
        <v>4</v>
      </c>
      <c r="RB41" t="s">
        <v>489</v>
      </c>
      <c r="RC41" t="s">
        <v>490</v>
      </c>
      <c r="RD41" t="s">
        <v>490</v>
      </c>
      <c r="RE41" t="s">
        <v>490</v>
      </c>
      <c r="RF41" t="s">
        <v>490</v>
      </c>
      <c r="RG41" t="s">
        <v>490</v>
      </c>
      <c r="RH41" t="s">
        <v>490</v>
      </c>
      <c r="RI41" t="s">
        <v>490</v>
      </c>
      <c r="RL41" t="s">
        <v>533</v>
      </c>
    </row>
    <row r="42" spans="1:486">
      <c r="A42">
        <v>11535</v>
      </c>
      <c r="B42" t="s">
        <v>503</v>
      </c>
      <c r="C42" t="s">
        <v>972</v>
      </c>
      <c r="D42" t="s">
        <v>518</v>
      </c>
      <c r="E42" t="s">
        <v>500</v>
      </c>
      <c r="F42" t="s">
        <v>545</v>
      </c>
      <c r="G42">
        <v>2.5</v>
      </c>
      <c r="H42" t="s">
        <v>487</v>
      </c>
      <c r="I42" t="s">
        <v>487</v>
      </c>
      <c r="J42" t="s">
        <v>487</v>
      </c>
      <c r="K42" t="s">
        <v>519</v>
      </c>
      <c r="L42" t="s">
        <v>489</v>
      </c>
      <c r="M42" t="s">
        <v>489</v>
      </c>
      <c r="N42" t="s">
        <v>489</v>
      </c>
      <c r="O42" t="s">
        <v>489</v>
      </c>
      <c r="P42" t="s">
        <v>489</v>
      </c>
      <c r="Q42" t="s">
        <v>490</v>
      </c>
      <c r="R42" t="s">
        <v>489</v>
      </c>
      <c r="S42" t="s">
        <v>490</v>
      </c>
      <c r="T42" t="s">
        <v>489</v>
      </c>
      <c r="U42" t="s">
        <v>490</v>
      </c>
      <c r="V42" t="s">
        <v>490</v>
      </c>
      <c r="W42" t="s">
        <v>489</v>
      </c>
      <c r="X42" t="s">
        <v>490</v>
      </c>
      <c r="Y42" t="s">
        <v>490</v>
      </c>
      <c r="Z42" t="s">
        <v>490</v>
      </c>
      <c r="AA42" t="s">
        <v>490</v>
      </c>
      <c r="AB42" t="s">
        <v>489</v>
      </c>
      <c r="AC42" t="s">
        <v>490</v>
      </c>
      <c r="AD42" t="s">
        <v>490</v>
      </c>
      <c r="AE42" t="s">
        <v>489</v>
      </c>
      <c r="AF42" t="s">
        <v>490</v>
      </c>
      <c r="AG42" t="s">
        <v>490</v>
      </c>
      <c r="AH42" t="s">
        <v>489</v>
      </c>
      <c r="AI42" t="s">
        <v>489</v>
      </c>
      <c r="AJ42" t="s">
        <v>490</v>
      </c>
      <c r="AK42" t="s">
        <v>490</v>
      </c>
      <c r="AL42" t="s">
        <v>490</v>
      </c>
      <c r="AM42" t="s">
        <v>490</v>
      </c>
      <c r="AN42" t="s">
        <v>489</v>
      </c>
      <c r="AO42" t="s">
        <v>489</v>
      </c>
      <c r="AP42" t="s">
        <v>490</v>
      </c>
      <c r="AQ42" t="s">
        <v>490</v>
      </c>
      <c r="AR42" t="s">
        <v>490</v>
      </c>
      <c r="AS42" t="s">
        <v>490</v>
      </c>
      <c r="AT42" t="s">
        <v>489</v>
      </c>
      <c r="AU42" t="s">
        <v>489</v>
      </c>
      <c r="AV42" t="s">
        <v>490</v>
      </c>
      <c r="AW42" t="s">
        <v>490</v>
      </c>
      <c r="AX42" t="s">
        <v>489</v>
      </c>
      <c r="AY42" t="s">
        <v>490</v>
      </c>
      <c r="AZ42" t="s">
        <v>490</v>
      </c>
      <c r="BA42" t="s">
        <v>489</v>
      </c>
      <c r="BB42" t="s">
        <v>490</v>
      </c>
      <c r="BC42" t="s">
        <v>490</v>
      </c>
      <c r="BD42" t="s">
        <v>489</v>
      </c>
      <c r="BE42" t="s">
        <v>490</v>
      </c>
      <c r="BF42" t="s">
        <v>490</v>
      </c>
      <c r="BG42" t="s">
        <v>489</v>
      </c>
      <c r="BH42" t="s">
        <v>490</v>
      </c>
      <c r="BI42" t="s">
        <v>490</v>
      </c>
      <c r="BJ42" t="s">
        <v>489</v>
      </c>
      <c r="BK42" t="s">
        <v>489</v>
      </c>
      <c r="BL42" t="s">
        <v>490</v>
      </c>
      <c r="BM42" t="s">
        <v>489</v>
      </c>
      <c r="BN42" t="s">
        <v>490</v>
      </c>
      <c r="BO42" t="s">
        <v>490</v>
      </c>
      <c r="BP42" t="s">
        <v>489</v>
      </c>
      <c r="BQ42" t="s">
        <v>490</v>
      </c>
      <c r="BR42" t="s">
        <v>490</v>
      </c>
      <c r="BS42" t="s">
        <v>489</v>
      </c>
      <c r="BT42" t="s">
        <v>490</v>
      </c>
      <c r="BU42" t="s">
        <v>490</v>
      </c>
      <c r="BV42" t="s">
        <v>489</v>
      </c>
      <c r="BW42" t="s">
        <v>490</v>
      </c>
      <c r="BX42" t="s">
        <v>490</v>
      </c>
      <c r="BY42" t="s">
        <v>489</v>
      </c>
      <c r="BZ42" t="s">
        <v>490</v>
      </c>
      <c r="CA42" t="s">
        <v>490</v>
      </c>
      <c r="CB42" t="s">
        <v>489</v>
      </c>
      <c r="CC42" t="s">
        <v>490</v>
      </c>
      <c r="CD42" t="s">
        <v>490</v>
      </c>
      <c r="CE42" t="s">
        <v>489</v>
      </c>
      <c r="CF42" t="s">
        <v>490</v>
      </c>
      <c r="CG42" t="s">
        <v>490</v>
      </c>
      <c r="CH42" t="s">
        <v>489</v>
      </c>
      <c r="CI42" t="s">
        <v>490</v>
      </c>
      <c r="CJ42" t="s">
        <v>490</v>
      </c>
      <c r="CK42" t="s">
        <v>489</v>
      </c>
      <c r="CL42" t="s">
        <v>490</v>
      </c>
      <c r="CM42" t="s">
        <v>490</v>
      </c>
      <c r="CN42" t="s">
        <v>489</v>
      </c>
      <c r="CO42" t="s">
        <v>490</v>
      </c>
      <c r="CP42" t="s">
        <v>490</v>
      </c>
      <c r="CQ42" t="s">
        <v>489</v>
      </c>
      <c r="CR42" t="s">
        <v>490</v>
      </c>
      <c r="CS42" t="s">
        <v>490</v>
      </c>
      <c r="CT42" t="s">
        <v>490</v>
      </c>
      <c r="CU42" t="s">
        <v>490</v>
      </c>
      <c r="CV42" t="s">
        <v>489</v>
      </c>
      <c r="DI42" t="s">
        <v>489</v>
      </c>
      <c r="DJ42" t="s">
        <v>489</v>
      </c>
      <c r="DK42" t="s">
        <v>490</v>
      </c>
      <c r="DL42" t="s">
        <v>489</v>
      </c>
      <c r="DM42" t="s">
        <v>489</v>
      </c>
      <c r="DN42" t="s">
        <v>490</v>
      </c>
      <c r="DO42" t="s">
        <v>490</v>
      </c>
      <c r="DP42" t="s">
        <v>490</v>
      </c>
      <c r="DQ42" t="s">
        <v>489</v>
      </c>
      <c r="DR42" t="s">
        <v>489</v>
      </c>
      <c r="DS42" t="s">
        <v>489</v>
      </c>
      <c r="DT42" t="s">
        <v>490</v>
      </c>
      <c r="DU42" t="s">
        <v>489</v>
      </c>
      <c r="DV42" t="s">
        <v>489</v>
      </c>
      <c r="DW42" t="s">
        <v>490</v>
      </c>
      <c r="DX42" t="s">
        <v>489</v>
      </c>
      <c r="DY42" t="s">
        <v>489</v>
      </c>
      <c r="DZ42" t="s">
        <v>490</v>
      </c>
      <c r="EY42">
        <v>80</v>
      </c>
      <c r="EZ42">
        <v>5</v>
      </c>
      <c r="FA42">
        <v>95</v>
      </c>
      <c r="FB42" t="s">
        <v>491</v>
      </c>
      <c r="OH42" s="15">
        <v>7</v>
      </c>
      <c r="OI42" s="15">
        <v>7</v>
      </c>
      <c r="OJ42" s="15">
        <v>4</v>
      </c>
      <c r="OK42" s="15">
        <v>3</v>
      </c>
      <c r="OL42" s="15">
        <v>7</v>
      </c>
      <c r="OM42" s="15">
        <v>10</v>
      </c>
      <c r="ON42" s="15">
        <v>6</v>
      </c>
      <c r="OO42" s="15">
        <v>5</v>
      </c>
      <c r="OQ42" t="s">
        <v>519</v>
      </c>
      <c r="OR42" t="s">
        <v>488</v>
      </c>
      <c r="OY42">
        <v>100</v>
      </c>
      <c r="OZ42">
        <v>2</v>
      </c>
      <c r="PA42">
        <v>0</v>
      </c>
      <c r="PB42">
        <v>0</v>
      </c>
      <c r="PC42">
        <v>0</v>
      </c>
      <c r="PD42">
        <v>0</v>
      </c>
      <c r="PE42">
        <v>0</v>
      </c>
      <c r="PF42">
        <v>0</v>
      </c>
      <c r="PG42">
        <v>0</v>
      </c>
      <c r="PH42">
        <v>0</v>
      </c>
      <c r="PI42">
        <v>100</v>
      </c>
      <c r="PJ42">
        <v>20</v>
      </c>
      <c r="PK42">
        <v>0</v>
      </c>
      <c r="PL42">
        <v>0</v>
      </c>
      <c r="PM42">
        <v>0</v>
      </c>
      <c r="PN42">
        <v>0</v>
      </c>
      <c r="PO42">
        <v>0</v>
      </c>
      <c r="PP42">
        <v>0</v>
      </c>
      <c r="PQ42">
        <v>0</v>
      </c>
      <c r="PR42">
        <v>0</v>
      </c>
      <c r="PT42" t="s">
        <v>487</v>
      </c>
      <c r="PU42" t="s">
        <v>497</v>
      </c>
      <c r="PV42">
        <v>500</v>
      </c>
      <c r="PW42">
        <v>500</v>
      </c>
      <c r="PX42">
        <v>1000</v>
      </c>
      <c r="PY42" t="s">
        <v>535</v>
      </c>
      <c r="PZ42" t="s">
        <v>493</v>
      </c>
      <c r="QA42">
        <v>50</v>
      </c>
      <c r="QB42">
        <v>50</v>
      </c>
      <c r="QC42">
        <v>80</v>
      </c>
      <c r="QD42">
        <v>20</v>
      </c>
      <c r="QE42" t="s">
        <v>508</v>
      </c>
      <c r="QZ42">
        <v>1</v>
      </c>
      <c r="RA42">
        <v>1</v>
      </c>
      <c r="RB42" t="s">
        <v>489</v>
      </c>
      <c r="RC42" t="s">
        <v>490</v>
      </c>
      <c r="RD42" t="s">
        <v>490</v>
      </c>
      <c r="RE42" t="s">
        <v>490</v>
      </c>
      <c r="RF42" t="s">
        <v>490</v>
      </c>
      <c r="RG42" t="s">
        <v>490</v>
      </c>
      <c r="RH42" t="s">
        <v>490</v>
      </c>
      <c r="RI42" t="s">
        <v>490</v>
      </c>
    </row>
    <row r="43" spans="1:486">
      <c r="A43">
        <v>11887</v>
      </c>
      <c r="B43" t="s">
        <v>503</v>
      </c>
      <c r="C43" t="s">
        <v>972</v>
      </c>
      <c r="D43" t="s">
        <v>518</v>
      </c>
      <c r="E43" t="s">
        <v>500</v>
      </c>
      <c r="F43" t="s">
        <v>505</v>
      </c>
      <c r="G43">
        <v>2.6</v>
      </c>
      <c r="H43" t="s">
        <v>487</v>
      </c>
      <c r="I43" t="s">
        <v>487</v>
      </c>
      <c r="J43" t="s">
        <v>487</v>
      </c>
      <c r="K43" t="s">
        <v>519</v>
      </c>
      <c r="L43" t="s">
        <v>489</v>
      </c>
      <c r="M43" t="s">
        <v>489</v>
      </c>
      <c r="N43" t="s">
        <v>489</v>
      </c>
      <c r="O43" t="s">
        <v>489</v>
      </c>
      <c r="P43" t="s">
        <v>490</v>
      </c>
      <c r="Q43" t="s">
        <v>489</v>
      </c>
      <c r="R43" t="s">
        <v>489</v>
      </c>
      <c r="S43" t="s">
        <v>490</v>
      </c>
      <c r="T43" t="s">
        <v>489</v>
      </c>
      <c r="U43" t="s">
        <v>490</v>
      </c>
      <c r="V43" t="s">
        <v>490</v>
      </c>
      <c r="W43" t="s">
        <v>489</v>
      </c>
      <c r="X43" t="s">
        <v>490</v>
      </c>
      <c r="Y43" t="s">
        <v>490</v>
      </c>
      <c r="Z43" t="s">
        <v>490</v>
      </c>
      <c r="AA43" t="s">
        <v>490</v>
      </c>
      <c r="AB43" t="s">
        <v>489</v>
      </c>
      <c r="AC43" t="s">
        <v>489</v>
      </c>
      <c r="AD43" t="s">
        <v>490</v>
      </c>
      <c r="AE43" t="s">
        <v>490</v>
      </c>
      <c r="AF43" t="s">
        <v>490</v>
      </c>
      <c r="AG43" t="s">
        <v>490</v>
      </c>
      <c r="AH43" t="s">
        <v>489</v>
      </c>
      <c r="AI43" t="s">
        <v>489</v>
      </c>
      <c r="AJ43" t="s">
        <v>490</v>
      </c>
      <c r="AK43" t="s">
        <v>490</v>
      </c>
      <c r="AL43" t="s">
        <v>490</v>
      </c>
      <c r="AM43" t="s">
        <v>490</v>
      </c>
      <c r="AN43" t="s">
        <v>489</v>
      </c>
      <c r="AO43" t="s">
        <v>490</v>
      </c>
      <c r="AP43" t="s">
        <v>490</v>
      </c>
      <c r="AQ43" t="s">
        <v>489</v>
      </c>
      <c r="AR43" t="s">
        <v>490</v>
      </c>
      <c r="AS43" t="s">
        <v>490</v>
      </c>
      <c r="AT43" t="s">
        <v>489</v>
      </c>
      <c r="AU43" t="s">
        <v>490</v>
      </c>
      <c r="AV43" t="s">
        <v>490</v>
      </c>
      <c r="AW43" t="s">
        <v>489</v>
      </c>
      <c r="AX43" t="s">
        <v>489</v>
      </c>
      <c r="AY43" t="s">
        <v>490</v>
      </c>
      <c r="AZ43" t="s">
        <v>490</v>
      </c>
      <c r="BA43" t="s">
        <v>489</v>
      </c>
      <c r="BB43" t="s">
        <v>490</v>
      </c>
      <c r="BC43" t="s">
        <v>490</v>
      </c>
      <c r="BD43" t="s">
        <v>489</v>
      </c>
      <c r="BE43" t="s">
        <v>490</v>
      </c>
      <c r="BF43" t="s">
        <v>490</v>
      </c>
      <c r="BG43" t="s">
        <v>489</v>
      </c>
      <c r="BH43" t="s">
        <v>490</v>
      </c>
      <c r="BI43" t="s">
        <v>490</v>
      </c>
      <c r="BJ43" t="s">
        <v>489</v>
      </c>
      <c r="BK43" t="s">
        <v>490</v>
      </c>
      <c r="BL43" t="s">
        <v>490</v>
      </c>
      <c r="BM43" t="s">
        <v>490</v>
      </c>
      <c r="BN43" t="s">
        <v>490</v>
      </c>
      <c r="BO43" t="s">
        <v>489</v>
      </c>
      <c r="BP43" t="s">
        <v>490</v>
      </c>
      <c r="BQ43" t="s">
        <v>490</v>
      </c>
      <c r="BR43" t="s">
        <v>489</v>
      </c>
      <c r="BS43" t="s">
        <v>490</v>
      </c>
      <c r="BT43" t="s">
        <v>490</v>
      </c>
      <c r="BU43" t="s">
        <v>489</v>
      </c>
      <c r="BV43" t="s">
        <v>490</v>
      </c>
      <c r="BW43" t="s">
        <v>490</v>
      </c>
      <c r="BX43" t="s">
        <v>489</v>
      </c>
      <c r="BY43" t="s">
        <v>489</v>
      </c>
      <c r="BZ43" t="s">
        <v>490</v>
      </c>
      <c r="CA43" t="s">
        <v>490</v>
      </c>
      <c r="CB43" t="s">
        <v>490</v>
      </c>
      <c r="CC43" t="s">
        <v>490</v>
      </c>
      <c r="CD43" t="s">
        <v>489</v>
      </c>
      <c r="CE43" t="s">
        <v>490</v>
      </c>
      <c r="CF43" t="s">
        <v>490</v>
      </c>
      <c r="CG43" t="s">
        <v>489</v>
      </c>
      <c r="CH43" t="s">
        <v>489</v>
      </c>
      <c r="CI43" t="s">
        <v>490</v>
      </c>
      <c r="CJ43" t="s">
        <v>490</v>
      </c>
      <c r="CK43" t="s">
        <v>489</v>
      </c>
      <c r="CL43" t="s">
        <v>490</v>
      </c>
      <c r="CM43" t="s">
        <v>490</v>
      </c>
      <c r="CN43" t="s">
        <v>489</v>
      </c>
      <c r="CO43" t="s">
        <v>490</v>
      </c>
      <c r="CP43" t="s">
        <v>490</v>
      </c>
      <c r="CW43" t="s">
        <v>489</v>
      </c>
      <c r="CX43" t="s">
        <v>490</v>
      </c>
      <c r="CY43" t="s">
        <v>490</v>
      </c>
      <c r="CZ43" t="s">
        <v>490</v>
      </c>
      <c r="DA43" t="s">
        <v>490</v>
      </c>
      <c r="DB43" t="s">
        <v>489</v>
      </c>
      <c r="DC43" t="s">
        <v>490</v>
      </c>
      <c r="DD43" t="s">
        <v>490</v>
      </c>
      <c r="DE43" t="s">
        <v>489</v>
      </c>
      <c r="DF43" t="s">
        <v>490</v>
      </c>
      <c r="DG43" t="s">
        <v>490</v>
      </c>
      <c r="DH43" t="s">
        <v>489</v>
      </c>
      <c r="DI43" t="s">
        <v>490</v>
      </c>
      <c r="DJ43" t="s">
        <v>490</v>
      </c>
      <c r="DK43" t="s">
        <v>489</v>
      </c>
      <c r="DL43" t="s">
        <v>489</v>
      </c>
      <c r="DM43" t="s">
        <v>490</v>
      </c>
      <c r="DN43" t="s">
        <v>490</v>
      </c>
      <c r="DO43" t="s">
        <v>490</v>
      </c>
      <c r="DP43" t="s">
        <v>490</v>
      </c>
      <c r="DQ43" t="s">
        <v>489</v>
      </c>
      <c r="DR43" t="s">
        <v>489</v>
      </c>
      <c r="DS43" t="s">
        <v>490</v>
      </c>
      <c r="DT43" t="s">
        <v>490</v>
      </c>
      <c r="DU43" t="s">
        <v>489</v>
      </c>
      <c r="DV43" t="s">
        <v>490</v>
      </c>
      <c r="DW43" t="s">
        <v>490</v>
      </c>
      <c r="DX43" t="s">
        <v>490</v>
      </c>
      <c r="DY43" t="s">
        <v>490</v>
      </c>
      <c r="DZ43" t="s">
        <v>489</v>
      </c>
      <c r="EY43">
        <v>88</v>
      </c>
      <c r="EZ43">
        <v>70</v>
      </c>
      <c r="FA43">
        <v>20</v>
      </c>
      <c r="FB43" t="s">
        <v>543</v>
      </c>
      <c r="OH43" s="15">
        <v>7</v>
      </c>
      <c r="OI43" s="15">
        <v>6</v>
      </c>
      <c r="OJ43" s="15">
        <v>8</v>
      </c>
      <c r="OK43" s="15">
        <v>8</v>
      </c>
      <c r="OL43" s="15">
        <v>8</v>
      </c>
      <c r="OM43" s="15">
        <v>8</v>
      </c>
      <c r="ON43" s="15">
        <v>1</v>
      </c>
      <c r="OO43" s="15">
        <v>1</v>
      </c>
      <c r="OQ43" t="s">
        <v>519</v>
      </c>
      <c r="OR43" t="s">
        <v>488</v>
      </c>
      <c r="PJ43">
        <v>80</v>
      </c>
      <c r="PO43">
        <v>80</v>
      </c>
      <c r="PT43" t="s">
        <v>488</v>
      </c>
      <c r="PU43" t="s">
        <v>497</v>
      </c>
      <c r="PV43">
        <v>1000</v>
      </c>
      <c r="PW43">
        <v>0</v>
      </c>
      <c r="PX43">
        <v>1000</v>
      </c>
      <c r="PY43" t="s">
        <v>493</v>
      </c>
      <c r="PZ43" t="s">
        <v>493</v>
      </c>
      <c r="QA43">
        <v>60</v>
      </c>
      <c r="QB43">
        <v>40</v>
      </c>
      <c r="QC43">
        <v>40</v>
      </c>
      <c r="QD43">
        <v>60</v>
      </c>
      <c r="QE43" t="s">
        <v>494</v>
      </c>
      <c r="QF43">
        <v>25</v>
      </c>
      <c r="QG43">
        <v>15</v>
      </c>
      <c r="QH43">
        <v>10</v>
      </c>
      <c r="QI43">
        <v>5</v>
      </c>
      <c r="QJ43">
        <v>25</v>
      </c>
      <c r="QK43">
        <v>5</v>
      </c>
      <c r="QL43">
        <v>5</v>
      </c>
      <c r="QM43">
        <v>10</v>
      </c>
      <c r="QN43">
        <v>0</v>
      </c>
      <c r="QP43">
        <v>20</v>
      </c>
      <c r="QQ43">
        <v>10</v>
      </c>
      <c r="QR43">
        <v>10</v>
      </c>
      <c r="QS43">
        <v>15</v>
      </c>
      <c r="QT43">
        <v>10</v>
      </c>
      <c r="QU43">
        <v>20</v>
      </c>
      <c r="QV43">
        <v>5</v>
      </c>
      <c r="QW43">
        <v>10</v>
      </c>
      <c r="QX43">
        <v>0</v>
      </c>
      <c r="QZ43">
        <v>0.8</v>
      </c>
      <c r="RA43">
        <v>3</v>
      </c>
      <c r="RB43" t="s">
        <v>489</v>
      </c>
      <c r="RC43" t="s">
        <v>490</v>
      </c>
      <c r="RD43" t="s">
        <v>490</v>
      </c>
      <c r="RE43" t="s">
        <v>489</v>
      </c>
      <c r="RF43" t="s">
        <v>490</v>
      </c>
      <c r="RG43" t="s">
        <v>490</v>
      </c>
      <c r="RH43" t="s">
        <v>490</v>
      </c>
      <c r="RI43" t="s">
        <v>490</v>
      </c>
      <c r="RR43" t="s">
        <v>617</v>
      </c>
    </row>
    <row r="44" spans="1:486">
      <c r="A44">
        <v>11558</v>
      </c>
      <c r="B44" t="s">
        <v>503</v>
      </c>
      <c r="C44" t="s">
        <v>972</v>
      </c>
      <c r="D44" t="s">
        <v>518</v>
      </c>
      <c r="E44" t="s">
        <v>500</v>
      </c>
      <c r="F44" t="s">
        <v>545</v>
      </c>
      <c r="G44">
        <v>6</v>
      </c>
      <c r="H44" t="s">
        <v>487</v>
      </c>
      <c r="I44" t="s">
        <v>487</v>
      </c>
      <c r="J44" t="s">
        <v>487</v>
      </c>
      <c r="K44" t="s">
        <v>487</v>
      </c>
      <c r="L44" t="s">
        <v>490</v>
      </c>
      <c r="M44" t="s">
        <v>490</v>
      </c>
      <c r="N44" t="s">
        <v>489</v>
      </c>
      <c r="O44" t="s">
        <v>489</v>
      </c>
      <c r="P44" t="s">
        <v>490</v>
      </c>
      <c r="Q44" t="s">
        <v>489</v>
      </c>
      <c r="R44" t="s">
        <v>490</v>
      </c>
      <c r="S44" t="s">
        <v>489</v>
      </c>
      <c r="BV44" t="s">
        <v>490</v>
      </c>
      <c r="BW44" t="s">
        <v>490</v>
      </c>
      <c r="BX44" t="s">
        <v>489</v>
      </c>
      <c r="BY44" t="s">
        <v>489</v>
      </c>
      <c r="BZ44" t="s">
        <v>489</v>
      </c>
      <c r="CA44" t="s">
        <v>490</v>
      </c>
      <c r="CB44" t="s">
        <v>490</v>
      </c>
      <c r="CC44" t="s">
        <v>490</v>
      </c>
      <c r="CD44" t="s">
        <v>489</v>
      </c>
      <c r="CE44" t="s">
        <v>489</v>
      </c>
      <c r="CF44" t="s">
        <v>489</v>
      </c>
      <c r="CG44" t="s">
        <v>490</v>
      </c>
      <c r="CH44" t="s">
        <v>490</v>
      </c>
      <c r="CI44" t="s">
        <v>490</v>
      </c>
      <c r="CJ44" t="s">
        <v>489</v>
      </c>
      <c r="CK44" t="s">
        <v>489</v>
      </c>
      <c r="CL44" t="s">
        <v>489</v>
      </c>
      <c r="CM44" t="s">
        <v>490</v>
      </c>
      <c r="CN44" t="s">
        <v>490</v>
      </c>
      <c r="CO44" t="s">
        <v>490</v>
      </c>
      <c r="CP44" t="s">
        <v>489</v>
      </c>
      <c r="CW44" t="s">
        <v>490</v>
      </c>
      <c r="CX44" t="s">
        <v>490</v>
      </c>
      <c r="CY44" t="s">
        <v>489</v>
      </c>
      <c r="CZ44" t="s">
        <v>490</v>
      </c>
      <c r="DA44" t="s">
        <v>490</v>
      </c>
      <c r="DB44" t="s">
        <v>489</v>
      </c>
      <c r="DC44" t="s">
        <v>489</v>
      </c>
      <c r="DD44" t="s">
        <v>490</v>
      </c>
      <c r="DE44" t="s">
        <v>490</v>
      </c>
      <c r="DF44" t="s">
        <v>490</v>
      </c>
      <c r="DG44" t="s">
        <v>490</v>
      </c>
      <c r="DH44" t="s">
        <v>489</v>
      </c>
      <c r="EA44" t="s">
        <v>490</v>
      </c>
      <c r="EB44" t="s">
        <v>489</v>
      </c>
      <c r="EC44" t="s">
        <v>490</v>
      </c>
      <c r="ED44" t="s">
        <v>490</v>
      </c>
      <c r="EE44" t="s">
        <v>490</v>
      </c>
      <c r="EF44" t="s">
        <v>489</v>
      </c>
      <c r="EG44" t="s">
        <v>490</v>
      </c>
      <c r="EH44" t="s">
        <v>490</v>
      </c>
      <c r="EI44" t="s">
        <v>489</v>
      </c>
      <c r="EJ44" t="s">
        <v>490</v>
      </c>
      <c r="EK44" t="s">
        <v>489</v>
      </c>
      <c r="EL44" t="s">
        <v>490</v>
      </c>
      <c r="EM44" t="s">
        <v>490</v>
      </c>
      <c r="EN44" t="s">
        <v>490</v>
      </c>
      <c r="EO44" t="s">
        <v>489</v>
      </c>
      <c r="EP44" t="s">
        <v>490</v>
      </c>
      <c r="EQ44" t="s">
        <v>490</v>
      </c>
      <c r="ER44" t="s">
        <v>489</v>
      </c>
      <c r="ES44" t="s">
        <v>490</v>
      </c>
      <c r="ET44" t="s">
        <v>489</v>
      </c>
      <c r="EU44" t="s">
        <v>490</v>
      </c>
      <c r="EV44" t="s">
        <v>490</v>
      </c>
      <c r="EW44" t="s">
        <v>490</v>
      </c>
      <c r="EX44" t="s">
        <v>489</v>
      </c>
      <c r="EY44">
        <v>35</v>
      </c>
      <c r="EZ44">
        <v>40</v>
      </c>
      <c r="FA44">
        <v>55</v>
      </c>
      <c r="FB44" t="s">
        <v>543</v>
      </c>
      <c r="OH44" s="15">
        <v>8</v>
      </c>
      <c r="OI44" s="15">
        <v>10</v>
      </c>
      <c r="OJ44" s="15">
        <v>10</v>
      </c>
      <c r="OK44" s="15">
        <v>5</v>
      </c>
      <c r="OL44" s="15">
        <v>10</v>
      </c>
      <c r="OM44" s="15">
        <v>8</v>
      </c>
      <c r="ON44" s="15">
        <v>1</v>
      </c>
      <c r="OO44" s="15">
        <v>5</v>
      </c>
      <c r="OQ44" t="s">
        <v>488</v>
      </c>
      <c r="OR44" t="s">
        <v>488</v>
      </c>
      <c r="OY44">
        <v>40</v>
      </c>
      <c r="OZ44">
        <v>5</v>
      </c>
      <c r="PA44">
        <v>0</v>
      </c>
      <c r="PB44">
        <v>0</v>
      </c>
      <c r="PC44">
        <v>0</v>
      </c>
      <c r="PD44">
        <v>0</v>
      </c>
      <c r="PE44">
        <v>1</v>
      </c>
      <c r="PF44">
        <v>0</v>
      </c>
      <c r="PG44">
        <v>0</v>
      </c>
      <c r="PH44">
        <v>0</v>
      </c>
      <c r="PI44">
        <v>60</v>
      </c>
      <c r="PJ44">
        <v>15</v>
      </c>
      <c r="PK44">
        <v>0</v>
      </c>
      <c r="PL44">
        <v>0</v>
      </c>
      <c r="PM44">
        <v>0</v>
      </c>
      <c r="PN44">
        <v>0</v>
      </c>
      <c r="PO44">
        <v>3</v>
      </c>
      <c r="PP44">
        <v>0</v>
      </c>
      <c r="PQ44">
        <v>0</v>
      </c>
      <c r="PR44">
        <v>0</v>
      </c>
      <c r="PT44" t="s">
        <v>488</v>
      </c>
      <c r="PU44" t="s">
        <v>497</v>
      </c>
      <c r="PV44">
        <v>2000</v>
      </c>
      <c r="PW44">
        <v>0</v>
      </c>
      <c r="PX44">
        <v>2000</v>
      </c>
      <c r="PY44" t="s">
        <v>493</v>
      </c>
      <c r="PZ44" t="s">
        <v>493</v>
      </c>
      <c r="QA44">
        <v>80</v>
      </c>
      <c r="QB44">
        <v>20</v>
      </c>
      <c r="QC44">
        <v>100</v>
      </c>
      <c r="QD44">
        <v>0</v>
      </c>
      <c r="QE44" t="s">
        <v>508</v>
      </c>
      <c r="QZ44">
        <v>0.75</v>
      </c>
      <c r="RA44">
        <v>0.5</v>
      </c>
      <c r="RB44" t="s">
        <v>489</v>
      </c>
      <c r="RC44" t="s">
        <v>490</v>
      </c>
      <c r="RD44" t="s">
        <v>490</v>
      </c>
      <c r="RE44" t="s">
        <v>490</v>
      </c>
      <c r="RF44" t="s">
        <v>490</v>
      </c>
      <c r="RG44" t="s">
        <v>490</v>
      </c>
      <c r="RH44" t="s">
        <v>490</v>
      </c>
      <c r="RI44" t="s">
        <v>490</v>
      </c>
      <c r="RJ44" t="s">
        <v>620</v>
      </c>
      <c r="RR44" t="s">
        <v>621</v>
      </c>
    </row>
    <row r="45" spans="1:486">
      <c r="A45">
        <v>12167</v>
      </c>
      <c r="B45" t="s">
        <v>503</v>
      </c>
      <c r="C45" t="s">
        <v>972</v>
      </c>
      <c r="D45" t="s">
        <v>518</v>
      </c>
      <c r="E45" t="s">
        <v>500</v>
      </c>
      <c r="F45" t="s">
        <v>496</v>
      </c>
      <c r="G45">
        <v>15.2</v>
      </c>
      <c r="H45" t="s">
        <v>487</v>
      </c>
      <c r="I45" t="s">
        <v>487</v>
      </c>
      <c r="J45" t="s">
        <v>488</v>
      </c>
      <c r="K45" t="s">
        <v>488</v>
      </c>
      <c r="L45" t="s">
        <v>490</v>
      </c>
      <c r="M45" t="s">
        <v>489</v>
      </c>
      <c r="N45" t="s">
        <v>490</v>
      </c>
      <c r="O45" t="s">
        <v>489</v>
      </c>
      <c r="P45" t="s">
        <v>490</v>
      </c>
      <c r="Q45" t="s">
        <v>490</v>
      </c>
      <c r="R45" t="s">
        <v>490</v>
      </c>
      <c r="S45" t="s">
        <v>490</v>
      </c>
      <c r="AX45" t="s">
        <v>489</v>
      </c>
      <c r="AY45" t="s">
        <v>489</v>
      </c>
      <c r="AZ45" t="s">
        <v>490</v>
      </c>
      <c r="BA45" t="s">
        <v>489</v>
      </c>
      <c r="BB45" t="s">
        <v>489</v>
      </c>
      <c r="BC45" t="s">
        <v>490</v>
      </c>
      <c r="BD45" t="s">
        <v>489</v>
      </c>
      <c r="BE45" t="s">
        <v>489</v>
      </c>
      <c r="BF45" t="s">
        <v>490</v>
      </c>
      <c r="BG45" t="s">
        <v>489</v>
      </c>
      <c r="BH45" t="s">
        <v>489</v>
      </c>
      <c r="BI45" t="s">
        <v>490</v>
      </c>
      <c r="BJ45" t="s">
        <v>489</v>
      </c>
      <c r="BK45" t="s">
        <v>489</v>
      </c>
      <c r="BL45" t="s">
        <v>490</v>
      </c>
      <c r="BM45" t="s">
        <v>490</v>
      </c>
      <c r="BN45" t="s">
        <v>490</v>
      </c>
      <c r="BO45" t="s">
        <v>489</v>
      </c>
      <c r="BP45" t="s">
        <v>490</v>
      </c>
      <c r="BQ45" t="s">
        <v>490</v>
      </c>
      <c r="BR45" t="s">
        <v>489</v>
      </c>
      <c r="BS45" t="s">
        <v>490</v>
      </c>
      <c r="BT45" t="s">
        <v>490</v>
      </c>
      <c r="BU45" t="s">
        <v>489</v>
      </c>
      <c r="CB45" t="s">
        <v>489</v>
      </c>
      <c r="CC45" t="s">
        <v>489</v>
      </c>
      <c r="CD45" t="s">
        <v>490</v>
      </c>
      <c r="CE45" t="s">
        <v>490</v>
      </c>
      <c r="CF45" t="s">
        <v>490</v>
      </c>
      <c r="CG45" t="s">
        <v>489</v>
      </c>
      <c r="CH45" t="s">
        <v>489</v>
      </c>
      <c r="CI45" t="s">
        <v>489</v>
      </c>
      <c r="CJ45" t="s">
        <v>490</v>
      </c>
      <c r="CK45" t="s">
        <v>489</v>
      </c>
      <c r="CL45" t="s">
        <v>489</v>
      </c>
      <c r="CM45" t="s">
        <v>490</v>
      </c>
      <c r="CN45" t="s">
        <v>489</v>
      </c>
      <c r="CO45" t="s">
        <v>489</v>
      </c>
      <c r="CP45" t="s">
        <v>490</v>
      </c>
      <c r="EY45">
        <v>95</v>
      </c>
      <c r="EZ45">
        <v>35</v>
      </c>
      <c r="FA45">
        <v>65</v>
      </c>
      <c r="FB45" t="s">
        <v>543</v>
      </c>
      <c r="OH45" s="15">
        <v>8</v>
      </c>
      <c r="OI45" s="15">
        <v>8</v>
      </c>
      <c r="OJ45" s="15">
        <v>8</v>
      </c>
      <c r="OK45" s="15">
        <v>2</v>
      </c>
      <c r="OL45" s="15">
        <v>8</v>
      </c>
      <c r="OM45" s="15">
        <v>8</v>
      </c>
      <c r="ON45" s="15">
        <v>2</v>
      </c>
      <c r="OO45" s="15">
        <v>8</v>
      </c>
      <c r="OQ45" t="s">
        <v>487</v>
      </c>
      <c r="OR45" t="s">
        <v>488</v>
      </c>
      <c r="OY45">
        <v>35</v>
      </c>
      <c r="OZ45">
        <v>2</v>
      </c>
      <c r="PA45">
        <v>5</v>
      </c>
      <c r="PB45">
        <v>0</v>
      </c>
      <c r="PC45">
        <v>0</v>
      </c>
      <c r="PD45">
        <v>1</v>
      </c>
      <c r="PE45">
        <v>5</v>
      </c>
      <c r="PF45">
        <v>0</v>
      </c>
      <c r="PG45">
        <v>0</v>
      </c>
      <c r="PH45">
        <v>0</v>
      </c>
      <c r="PI45">
        <v>50</v>
      </c>
      <c r="PJ45">
        <v>5</v>
      </c>
      <c r="PK45">
        <v>5</v>
      </c>
      <c r="PL45">
        <v>1</v>
      </c>
      <c r="PM45">
        <v>0</v>
      </c>
      <c r="PN45">
        <v>1</v>
      </c>
      <c r="PO45">
        <v>10</v>
      </c>
      <c r="PP45">
        <v>0</v>
      </c>
      <c r="PQ45">
        <v>0</v>
      </c>
      <c r="PR45">
        <v>0</v>
      </c>
      <c r="PT45" t="s">
        <v>488</v>
      </c>
      <c r="PU45" t="s">
        <v>519</v>
      </c>
      <c r="PV45">
        <v>40000</v>
      </c>
      <c r="PW45">
        <v>0</v>
      </c>
      <c r="PX45">
        <v>40000</v>
      </c>
      <c r="PY45" t="s">
        <v>493</v>
      </c>
      <c r="PZ45" t="s">
        <v>493</v>
      </c>
      <c r="QA45">
        <v>20</v>
      </c>
      <c r="QB45">
        <v>80</v>
      </c>
      <c r="QC45">
        <v>65</v>
      </c>
      <c r="QD45">
        <v>35</v>
      </c>
      <c r="QE45" t="s">
        <v>508</v>
      </c>
      <c r="QZ45">
        <v>3</v>
      </c>
      <c r="RA45">
        <v>1</v>
      </c>
      <c r="RB45" t="s">
        <v>489</v>
      </c>
      <c r="RC45" t="s">
        <v>490</v>
      </c>
      <c r="RD45" t="s">
        <v>490</v>
      </c>
      <c r="RE45" t="s">
        <v>490</v>
      </c>
      <c r="RF45" t="s">
        <v>490</v>
      </c>
      <c r="RG45" t="s">
        <v>490</v>
      </c>
      <c r="RH45" t="s">
        <v>490</v>
      </c>
      <c r="RI45" t="s">
        <v>490</v>
      </c>
      <c r="RR45" t="s">
        <v>626</v>
      </c>
    </row>
    <row r="46" spans="1:486">
      <c r="A46">
        <v>1004266</v>
      </c>
      <c r="B46" t="s">
        <v>503</v>
      </c>
      <c r="C46" t="s">
        <v>972</v>
      </c>
      <c r="D46" t="s">
        <v>518</v>
      </c>
      <c r="E46" t="s">
        <v>500</v>
      </c>
      <c r="F46" t="s">
        <v>505</v>
      </c>
      <c r="G46">
        <v>2.5</v>
      </c>
      <c r="H46" t="s">
        <v>487</v>
      </c>
      <c r="I46" t="s">
        <v>487</v>
      </c>
      <c r="J46" t="s">
        <v>487</v>
      </c>
      <c r="K46" t="s">
        <v>488</v>
      </c>
      <c r="L46" t="s">
        <v>489</v>
      </c>
      <c r="M46" t="s">
        <v>489</v>
      </c>
      <c r="N46" t="s">
        <v>489</v>
      </c>
      <c r="O46" t="s">
        <v>489</v>
      </c>
      <c r="P46" t="s">
        <v>490</v>
      </c>
      <c r="Q46" t="s">
        <v>489</v>
      </c>
      <c r="R46" t="s">
        <v>489</v>
      </c>
      <c r="S46" t="s">
        <v>490</v>
      </c>
      <c r="T46" t="s">
        <v>489</v>
      </c>
      <c r="U46" t="s">
        <v>490</v>
      </c>
      <c r="V46" t="s">
        <v>490</v>
      </c>
      <c r="W46" t="s">
        <v>489</v>
      </c>
      <c r="X46" t="s">
        <v>490</v>
      </c>
      <c r="Y46" t="s">
        <v>490</v>
      </c>
      <c r="Z46" t="s">
        <v>490</v>
      </c>
      <c r="AA46" t="s">
        <v>490</v>
      </c>
      <c r="AB46" t="s">
        <v>489</v>
      </c>
      <c r="AC46" t="s">
        <v>489</v>
      </c>
      <c r="AD46" t="s">
        <v>490</v>
      </c>
      <c r="AE46" t="s">
        <v>490</v>
      </c>
      <c r="AF46" t="s">
        <v>489</v>
      </c>
      <c r="AG46" t="s">
        <v>490</v>
      </c>
      <c r="AH46" t="s">
        <v>490</v>
      </c>
      <c r="AI46" t="s">
        <v>489</v>
      </c>
      <c r="AJ46" t="s">
        <v>490</v>
      </c>
      <c r="AK46" t="s">
        <v>490</v>
      </c>
      <c r="AL46" t="s">
        <v>490</v>
      </c>
      <c r="AM46" t="s">
        <v>490</v>
      </c>
      <c r="AN46" t="s">
        <v>489</v>
      </c>
      <c r="AO46" t="s">
        <v>490</v>
      </c>
      <c r="AP46" t="s">
        <v>490</v>
      </c>
      <c r="AQ46" t="s">
        <v>489</v>
      </c>
      <c r="AR46" t="s">
        <v>490</v>
      </c>
      <c r="AS46" t="s">
        <v>490</v>
      </c>
      <c r="AT46" t="s">
        <v>489</v>
      </c>
      <c r="AU46" t="s">
        <v>489</v>
      </c>
      <c r="AV46" t="s">
        <v>490</v>
      </c>
      <c r="AW46" t="s">
        <v>490</v>
      </c>
      <c r="AX46" t="s">
        <v>489</v>
      </c>
      <c r="AY46" t="s">
        <v>490</v>
      </c>
      <c r="AZ46" t="s">
        <v>490</v>
      </c>
      <c r="BA46" t="s">
        <v>489</v>
      </c>
      <c r="BB46" t="s">
        <v>490</v>
      </c>
      <c r="BC46" t="s">
        <v>490</v>
      </c>
      <c r="BD46" t="s">
        <v>489</v>
      </c>
      <c r="BE46" t="s">
        <v>490</v>
      </c>
      <c r="BF46" t="s">
        <v>490</v>
      </c>
      <c r="BG46" t="s">
        <v>489</v>
      </c>
      <c r="BH46" t="s">
        <v>490</v>
      </c>
      <c r="BI46" t="s">
        <v>490</v>
      </c>
      <c r="BJ46" t="s">
        <v>489</v>
      </c>
      <c r="BK46" t="s">
        <v>490</v>
      </c>
      <c r="BL46" t="s">
        <v>490</v>
      </c>
      <c r="BM46" t="s">
        <v>489</v>
      </c>
      <c r="BN46" t="s">
        <v>490</v>
      </c>
      <c r="BO46" t="s">
        <v>490</v>
      </c>
      <c r="BP46" t="s">
        <v>490</v>
      </c>
      <c r="BQ46" t="s">
        <v>490</v>
      </c>
      <c r="BR46" t="s">
        <v>489</v>
      </c>
      <c r="BS46" t="s">
        <v>489</v>
      </c>
      <c r="BT46" t="s">
        <v>490</v>
      </c>
      <c r="BU46" t="s">
        <v>490</v>
      </c>
      <c r="BV46" t="s">
        <v>490</v>
      </c>
      <c r="BW46" t="s">
        <v>490</v>
      </c>
      <c r="BX46" t="s">
        <v>489</v>
      </c>
      <c r="BY46" t="s">
        <v>489</v>
      </c>
      <c r="BZ46" t="s">
        <v>490</v>
      </c>
      <c r="CA46" t="s">
        <v>490</v>
      </c>
      <c r="CB46" t="s">
        <v>490</v>
      </c>
      <c r="CC46" t="s">
        <v>490</v>
      </c>
      <c r="CD46" t="s">
        <v>489</v>
      </c>
      <c r="CE46" t="s">
        <v>489</v>
      </c>
      <c r="CF46" t="s">
        <v>490</v>
      </c>
      <c r="CG46" t="s">
        <v>490</v>
      </c>
      <c r="CH46" t="s">
        <v>489</v>
      </c>
      <c r="CI46" t="s">
        <v>489</v>
      </c>
      <c r="CJ46" t="s">
        <v>490</v>
      </c>
      <c r="CK46" t="s">
        <v>490</v>
      </c>
      <c r="CL46" t="s">
        <v>490</v>
      </c>
      <c r="CM46" t="s">
        <v>489</v>
      </c>
      <c r="CN46" t="s">
        <v>489</v>
      </c>
      <c r="CO46" t="s">
        <v>490</v>
      </c>
      <c r="CP46" t="s">
        <v>490</v>
      </c>
      <c r="CW46" t="s">
        <v>489</v>
      </c>
      <c r="CX46" t="s">
        <v>490</v>
      </c>
      <c r="CY46" t="s">
        <v>490</v>
      </c>
      <c r="CZ46" t="s">
        <v>490</v>
      </c>
      <c r="DA46" t="s">
        <v>490</v>
      </c>
      <c r="DB46" t="s">
        <v>489</v>
      </c>
      <c r="DC46" t="s">
        <v>490</v>
      </c>
      <c r="DD46" t="s">
        <v>490</v>
      </c>
      <c r="DE46" t="s">
        <v>489</v>
      </c>
      <c r="DF46" t="s">
        <v>490</v>
      </c>
      <c r="DG46" t="s">
        <v>490</v>
      </c>
      <c r="DH46" t="s">
        <v>489</v>
      </c>
      <c r="DI46" t="s">
        <v>490</v>
      </c>
      <c r="DJ46" t="s">
        <v>490</v>
      </c>
      <c r="DK46" t="s">
        <v>489</v>
      </c>
      <c r="DL46" t="s">
        <v>490</v>
      </c>
      <c r="DM46" t="s">
        <v>490</v>
      </c>
      <c r="DN46" t="s">
        <v>489</v>
      </c>
      <c r="DO46" t="s">
        <v>490</v>
      </c>
      <c r="DP46" t="s">
        <v>490</v>
      </c>
      <c r="DQ46" t="s">
        <v>489</v>
      </c>
      <c r="DR46" t="s">
        <v>489</v>
      </c>
      <c r="DS46" t="s">
        <v>489</v>
      </c>
      <c r="DT46" t="s">
        <v>490</v>
      </c>
      <c r="DU46" t="s">
        <v>489</v>
      </c>
      <c r="DV46" t="s">
        <v>489</v>
      </c>
      <c r="DW46" t="s">
        <v>490</v>
      </c>
      <c r="DX46" t="s">
        <v>490</v>
      </c>
      <c r="DY46" t="s">
        <v>490</v>
      </c>
      <c r="DZ46" t="s">
        <v>489</v>
      </c>
      <c r="EY46">
        <v>75</v>
      </c>
      <c r="EZ46">
        <v>50</v>
      </c>
      <c r="FA46">
        <v>50</v>
      </c>
      <c r="FB46" t="s">
        <v>543</v>
      </c>
      <c r="OH46" s="15">
        <v>8</v>
      </c>
      <c r="OI46" s="15">
        <v>7</v>
      </c>
      <c r="OJ46" s="15">
        <v>8</v>
      </c>
      <c r="OK46" s="15">
        <v>6</v>
      </c>
      <c r="OL46" s="15">
        <v>8</v>
      </c>
      <c r="OM46" s="15">
        <v>9</v>
      </c>
      <c r="ON46" s="15">
        <v>4</v>
      </c>
      <c r="OO46" s="15">
        <v>9</v>
      </c>
      <c r="OQ46" t="s">
        <v>487</v>
      </c>
      <c r="OR46" t="s">
        <v>488</v>
      </c>
      <c r="OY46">
        <v>100</v>
      </c>
      <c r="OZ46">
        <v>0</v>
      </c>
      <c r="PA46">
        <v>0</v>
      </c>
      <c r="PB46">
        <v>0</v>
      </c>
      <c r="PC46">
        <v>0</v>
      </c>
      <c r="PD46">
        <v>0</v>
      </c>
      <c r="PE46">
        <v>0</v>
      </c>
      <c r="PF46">
        <v>0</v>
      </c>
      <c r="PG46">
        <v>0</v>
      </c>
      <c r="PH46">
        <v>0</v>
      </c>
      <c r="PI46">
        <v>100</v>
      </c>
      <c r="PJ46">
        <v>0</v>
      </c>
      <c r="PK46">
        <v>0</v>
      </c>
      <c r="PL46">
        <v>0</v>
      </c>
      <c r="PM46">
        <v>0</v>
      </c>
      <c r="PN46">
        <v>0</v>
      </c>
      <c r="PO46">
        <v>0</v>
      </c>
      <c r="PP46">
        <v>0</v>
      </c>
      <c r="PQ46">
        <v>0</v>
      </c>
      <c r="PR46">
        <v>0</v>
      </c>
      <c r="PT46" t="s">
        <v>488</v>
      </c>
      <c r="PU46" t="s">
        <v>497</v>
      </c>
      <c r="PV46">
        <v>3000</v>
      </c>
      <c r="PW46">
        <v>0</v>
      </c>
      <c r="PX46">
        <v>3000</v>
      </c>
      <c r="PY46" t="s">
        <v>493</v>
      </c>
      <c r="PZ46" t="s">
        <v>493</v>
      </c>
      <c r="QA46">
        <v>25</v>
      </c>
      <c r="QB46">
        <v>75</v>
      </c>
      <c r="QC46">
        <v>80</v>
      </c>
      <c r="QD46">
        <v>20</v>
      </c>
      <c r="QE46" t="s">
        <v>508</v>
      </c>
      <c r="QZ46">
        <v>0.1</v>
      </c>
      <c r="RA46">
        <v>0.6</v>
      </c>
      <c r="RB46" t="s">
        <v>489</v>
      </c>
      <c r="RC46" t="s">
        <v>490</v>
      </c>
      <c r="RD46" t="s">
        <v>490</v>
      </c>
      <c r="RE46" t="s">
        <v>489</v>
      </c>
      <c r="RF46" t="s">
        <v>490</v>
      </c>
      <c r="RG46" t="s">
        <v>490</v>
      </c>
      <c r="RH46" t="s">
        <v>490</v>
      </c>
      <c r="RI46" t="s">
        <v>490</v>
      </c>
      <c r="RL46" t="s">
        <v>629</v>
      </c>
      <c r="RQ46" t="s">
        <v>630</v>
      </c>
      <c r="RR46" t="s">
        <v>631</v>
      </c>
    </row>
    <row r="47" spans="1:486">
      <c r="A47">
        <v>11950</v>
      </c>
      <c r="B47" t="s">
        <v>503</v>
      </c>
      <c r="C47" t="s">
        <v>972</v>
      </c>
      <c r="D47" t="s">
        <v>518</v>
      </c>
      <c r="E47" t="s">
        <v>500</v>
      </c>
      <c r="F47" t="s">
        <v>505</v>
      </c>
      <c r="G47">
        <v>1.5</v>
      </c>
      <c r="H47" t="s">
        <v>487</v>
      </c>
      <c r="I47" t="s">
        <v>487</v>
      </c>
      <c r="J47" t="s">
        <v>487</v>
      </c>
      <c r="K47" t="s">
        <v>488</v>
      </c>
      <c r="L47" t="s">
        <v>490</v>
      </c>
      <c r="M47" t="s">
        <v>489</v>
      </c>
      <c r="N47" t="s">
        <v>489</v>
      </c>
      <c r="O47" t="s">
        <v>489</v>
      </c>
      <c r="P47" t="s">
        <v>490</v>
      </c>
      <c r="Q47" t="s">
        <v>489</v>
      </c>
      <c r="R47" t="s">
        <v>489</v>
      </c>
      <c r="S47" t="s">
        <v>490</v>
      </c>
      <c r="AX47" t="s">
        <v>489</v>
      </c>
      <c r="AY47" t="s">
        <v>490</v>
      </c>
      <c r="AZ47" t="s">
        <v>490</v>
      </c>
      <c r="BA47" t="s">
        <v>489</v>
      </c>
      <c r="BB47" t="s">
        <v>490</v>
      </c>
      <c r="BC47" t="s">
        <v>490</v>
      </c>
      <c r="BD47" t="s">
        <v>489</v>
      </c>
      <c r="BE47" t="s">
        <v>490</v>
      </c>
      <c r="BF47" t="s">
        <v>490</v>
      </c>
      <c r="BG47" t="s">
        <v>489</v>
      </c>
      <c r="BH47" t="s">
        <v>489</v>
      </c>
      <c r="BI47" t="s">
        <v>490</v>
      </c>
      <c r="BJ47" t="s">
        <v>489</v>
      </c>
      <c r="BK47" t="s">
        <v>489</v>
      </c>
      <c r="BL47" t="s">
        <v>490</v>
      </c>
      <c r="BM47" t="s">
        <v>489</v>
      </c>
      <c r="BN47" t="s">
        <v>489</v>
      </c>
      <c r="BO47" t="s">
        <v>490</v>
      </c>
      <c r="BP47" t="s">
        <v>490</v>
      </c>
      <c r="BQ47" t="s">
        <v>490</v>
      </c>
      <c r="BR47" t="s">
        <v>489</v>
      </c>
      <c r="BS47" t="s">
        <v>489</v>
      </c>
      <c r="BT47" t="s">
        <v>490</v>
      </c>
      <c r="BU47" t="s">
        <v>490</v>
      </c>
      <c r="BV47" t="s">
        <v>490</v>
      </c>
      <c r="BW47" t="s">
        <v>490</v>
      </c>
      <c r="BX47" t="s">
        <v>489</v>
      </c>
      <c r="BY47" t="s">
        <v>489</v>
      </c>
      <c r="BZ47" t="s">
        <v>490</v>
      </c>
      <c r="CA47" t="s">
        <v>490</v>
      </c>
      <c r="CB47" t="s">
        <v>489</v>
      </c>
      <c r="CC47" t="s">
        <v>490</v>
      </c>
      <c r="CD47" t="s">
        <v>490</v>
      </c>
      <c r="CE47" t="s">
        <v>490</v>
      </c>
      <c r="CF47" t="s">
        <v>490</v>
      </c>
      <c r="CG47" t="s">
        <v>489</v>
      </c>
      <c r="CH47" t="s">
        <v>489</v>
      </c>
      <c r="CI47" t="s">
        <v>490</v>
      </c>
      <c r="CJ47" t="s">
        <v>490</v>
      </c>
      <c r="CK47" t="s">
        <v>489</v>
      </c>
      <c r="CL47" t="s">
        <v>490</v>
      </c>
      <c r="CM47" t="s">
        <v>490</v>
      </c>
      <c r="CN47" t="s">
        <v>489</v>
      </c>
      <c r="CO47" t="s">
        <v>490</v>
      </c>
      <c r="CP47" t="s">
        <v>490</v>
      </c>
      <c r="CW47" t="s">
        <v>490</v>
      </c>
      <c r="CX47" t="s">
        <v>490</v>
      </c>
      <c r="CY47" t="s">
        <v>489</v>
      </c>
      <c r="CZ47" t="s">
        <v>490</v>
      </c>
      <c r="DA47" t="s">
        <v>490</v>
      </c>
      <c r="DB47" t="s">
        <v>489</v>
      </c>
      <c r="DC47" t="s">
        <v>490</v>
      </c>
      <c r="DD47" t="s">
        <v>490</v>
      </c>
      <c r="DE47" t="s">
        <v>489</v>
      </c>
      <c r="DF47" t="s">
        <v>489</v>
      </c>
      <c r="DG47" t="s">
        <v>490</v>
      </c>
      <c r="DH47" t="s">
        <v>490</v>
      </c>
      <c r="DI47" t="s">
        <v>489</v>
      </c>
      <c r="DJ47" t="s">
        <v>490</v>
      </c>
      <c r="DK47" t="s">
        <v>490</v>
      </c>
      <c r="DL47" t="s">
        <v>489</v>
      </c>
      <c r="DM47" t="s">
        <v>490</v>
      </c>
      <c r="DN47" t="s">
        <v>490</v>
      </c>
      <c r="DO47" t="s">
        <v>490</v>
      </c>
      <c r="DP47" t="s">
        <v>490</v>
      </c>
      <c r="DQ47" t="s">
        <v>489</v>
      </c>
      <c r="DR47" t="s">
        <v>490</v>
      </c>
      <c r="DS47" t="s">
        <v>489</v>
      </c>
      <c r="DT47" t="s">
        <v>490</v>
      </c>
      <c r="DU47" t="s">
        <v>490</v>
      </c>
      <c r="DV47" t="s">
        <v>489</v>
      </c>
      <c r="DW47" t="s">
        <v>490</v>
      </c>
      <c r="DX47" t="s">
        <v>489</v>
      </c>
      <c r="DY47" t="s">
        <v>490</v>
      </c>
      <c r="DZ47" t="s">
        <v>490</v>
      </c>
      <c r="EY47">
        <v>80</v>
      </c>
      <c r="EZ47">
        <v>40</v>
      </c>
      <c r="FA47">
        <v>60</v>
      </c>
      <c r="FB47" t="s">
        <v>491</v>
      </c>
      <c r="OH47" s="15">
        <v>8</v>
      </c>
      <c r="OI47" s="15">
        <v>7</v>
      </c>
      <c r="OJ47" s="15">
        <v>8</v>
      </c>
      <c r="OK47" s="15">
        <v>5</v>
      </c>
      <c r="OL47" s="15">
        <v>8</v>
      </c>
      <c r="OM47" s="15">
        <v>8</v>
      </c>
      <c r="ON47" s="15">
        <v>5</v>
      </c>
      <c r="OO47" s="15">
        <v>5</v>
      </c>
      <c r="OQ47" t="s">
        <v>487</v>
      </c>
      <c r="OR47" t="s">
        <v>488</v>
      </c>
      <c r="PT47" t="s">
        <v>488</v>
      </c>
      <c r="PU47" t="s">
        <v>497</v>
      </c>
      <c r="PV47">
        <v>0</v>
      </c>
      <c r="PW47">
        <v>0</v>
      </c>
      <c r="PX47">
        <v>0</v>
      </c>
      <c r="PY47" t="s">
        <v>493</v>
      </c>
      <c r="PZ47" t="s">
        <v>493</v>
      </c>
      <c r="QA47">
        <v>50</v>
      </c>
      <c r="QB47">
        <v>50</v>
      </c>
      <c r="QC47">
        <v>100</v>
      </c>
      <c r="QD47">
        <v>0</v>
      </c>
      <c r="QE47" t="s">
        <v>508</v>
      </c>
      <c r="QZ47">
        <v>0</v>
      </c>
      <c r="RA47">
        <v>1</v>
      </c>
      <c r="RB47" t="s">
        <v>489</v>
      </c>
      <c r="RC47" t="s">
        <v>490</v>
      </c>
      <c r="RD47" t="s">
        <v>490</v>
      </c>
      <c r="RE47" t="s">
        <v>490</v>
      </c>
      <c r="RF47" t="s">
        <v>490</v>
      </c>
      <c r="RG47" t="s">
        <v>490</v>
      </c>
      <c r="RH47" t="s">
        <v>490</v>
      </c>
      <c r="RI47" t="s">
        <v>490</v>
      </c>
    </row>
    <row r="48" spans="1:486">
      <c r="A48">
        <v>11645</v>
      </c>
      <c r="B48" t="s">
        <v>503</v>
      </c>
      <c r="C48" t="s">
        <v>972</v>
      </c>
      <c r="D48" t="s">
        <v>504</v>
      </c>
      <c r="E48" t="s">
        <v>500</v>
      </c>
      <c r="F48" t="s">
        <v>505</v>
      </c>
      <c r="G48">
        <v>3</v>
      </c>
      <c r="H48" t="s">
        <v>487</v>
      </c>
      <c r="I48" t="s">
        <v>487</v>
      </c>
      <c r="J48" t="s">
        <v>488</v>
      </c>
      <c r="K48" t="s">
        <v>488</v>
      </c>
      <c r="L48" t="s">
        <v>489</v>
      </c>
      <c r="M48" t="s">
        <v>489</v>
      </c>
      <c r="N48" t="s">
        <v>489</v>
      </c>
      <c r="O48" t="s">
        <v>489</v>
      </c>
      <c r="P48" t="s">
        <v>490</v>
      </c>
      <c r="Q48" t="s">
        <v>489</v>
      </c>
      <c r="R48" t="s">
        <v>490</v>
      </c>
      <c r="S48" t="s">
        <v>489</v>
      </c>
      <c r="T48" t="s">
        <v>489</v>
      </c>
      <c r="U48" t="s">
        <v>490</v>
      </c>
      <c r="V48" t="s">
        <v>490</v>
      </c>
      <c r="W48" t="s">
        <v>489</v>
      </c>
      <c r="X48" t="s">
        <v>490</v>
      </c>
      <c r="Y48" t="s">
        <v>490</v>
      </c>
      <c r="Z48" t="s">
        <v>490</v>
      </c>
      <c r="AA48" t="s">
        <v>490</v>
      </c>
      <c r="AB48" t="s">
        <v>489</v>
      </c>
      <c r="AC48" t="s">
        <v>490</v>
      </c>
      <c r="AD48" t="s">
        <v>490</v>
      </c>
      <c r="AE48" t="s">
        <v>489</v>
      </c>
      <c r="AF48" t="s">
        <v>490</v>
      </c>
      <c r="AG48" t="s">
        <v>490</v>
      </c>
      <c r="AH48" t="s">
        <v>489</v>
      </c>
      <c r="AI48" t="s">
        <v>490</v>
      </c>
      <c r="AJ48" t="s">
        <v>490</v>
      </c>
      <c r="AK48" t="s">
        <v>489</v>
      </c>
      <c r="AL48" t="s">
        <v>490</v>
      </c>
      <c r="AM48" t="s">
        <v>490</v>
      </c>
      <c r="AN48" t="s">
        <v>489</v>
      </c>
      <c r="AO48" t="s">
        <v>490</v>
      </c>
      <c r="AP48" t="s">
        <v>490</v>
      </c>
      <c r="AQ48" t="s">
        <v>489</v>
      </c>
      <c r="AR48" t="s">
        <v>490</v>
      </c>
      <c r="AS48" t="s">
        <v>490</v>
      </c>
      <c r="AT48" t="s">
        <v>489</v>
      </c>
      <c r="AU48" t="s">
        <v>490</v>
      </c>
      <c r="AV48" t="s">
        <v>490</v>
      </c>
      <c r="AW48" t="s">
        <v>489</v>
      </c>
      <c r="AX48" t="s">
        <v>489</v>
      </c>
      <c r="AY48" t="s">
        <v>489</v>
      </c>
      <c r="AZ48" t="s">
        <v>490</v>
      </c>
      <c r="BA48" t="s">
        <v>489</v>
      </c>
      <c r="BB48" t="s">
        <v>489</v>
      </c>
      <c r="BC48" t="s">
        <v>490</v>
      </c>
      <c r="BD48" t="s">
        <v>490</v>
      </c>
      <c r="BE48" t="s">
        <v>490</v>
      </c>
      <c r="BF48" t="s">
        <v>489</v>
      </c>
      <c r="BG48" t="s">
        <v>489</v>
      </c>
      <c r="BH48" t="s">
        <v>489</v>
      </c>
      <c r="BI48" t="s">
        <v>490</v>
      </c>
      <c r="BJ48" t="s">
        <v>490</v>
      </c>
      <c r="BK48" t="s">
        <v>490</v>
      </c>
      <c r="BL48" t="s">
        <v>489</v>
      </c>
      <c r="BM48" t="s">
        <v>490</v>
      </c>
      <c r="BN48" t="s">
        <v>490</v>
      </c>
      <c r="BO48" t="s">
        <v>489</v>
      </c>
      <c r="BP48" t="s">
        <v>490</v>
      </c>
      <c r="BQ48" t="s">
        <v>490</v>
      </c>
      <c r="BR48" t="s">
        <v>489</v>
      </c>
      <c r="BS48" t="s">
        <v>490</v>
      </c>
      <c r="BT48" t="s">
        <v>490</v>
      </c>
      <c r="BU48" t="s">
        <v>489</v>
      </c>
      <c r="BV48" t="s">
        <v>490</v>
      </c>
      <c r="BW48" t="s">
        <v>490</v>
      </c>
      <c r="BX48" t="s">
        <v>489</v>
      </c>
      <c r="BY48" t="s">
        <v>489</v>
      </c>
      <c r="BZ48" t="s">
        <v>490</v>
      </c>
      <c r="CA48" t="s">
        <v>490</v>
      </c>
      <c r="CB48" t="s">
        <v>489</v>
      </c>
      <c r="CC48" t="s">
        <v>490</v>
      </c>
      <c r="CD48" t="s">
        <v>490</v>
      </c>
      <c r="CE48" t="s">
        <v>490</v>
      </c>
      <c r="CF48" t="s">
        <v>490</v>
      </c>
      <c r="CG48" t="s">
        <v>489</v>
      </c>
      <c r="CH48" t="s">
        <v>490</v>
      </c>
      <c r="CI48" t="s">
        <v>490</v>
      </c>
      <c r="CJ48" t="s">
        <v>489</v>
      </c>
      <c r="CK48" t="s">
        <v>489</v>
      </c>
      <c r="CL48" t="s">
        <v>490</v>
      </c>
      <c r="CM48" t="s">
        <v>490</v>
      </c>
      <c r="CN48" t="s">
        <v>490</v>
      </c>
      <c r="CO48" t="s">
        <v>490</v>
      </c>
      <c r="CP48" t="s">
        <v>489</v>
      </c>
      <c r="CW48" t="s">
        <v>489</v>
      </c>
      <c r="CX48" t="s">
        <v>490</v>
      </c>
      <c r="CY48" t="s">
        <v>490</v>
      </c>
      <c r="CZ48" t="s">
        <v>490</v>
      </c>
      <c r="DA48" t="s">
        <v>490</v>
      </c>
      <c r="DB48" t="s">
        <v>489</v>
      </c>
      <c r="DC48" t="s">
        <v>490</v>
      </c>
      <c r="DD48" t="s">
        <v>490</v>
      </c>
      <c r="DE48" t="s">
        <v>489</v>
      </c>
      <c r="DF48" t="s">
        <v>490</v>
      </c>
      <c r="DG48" t="s">
        <v>490</v>
      </c>
      <c r="DH48" t="s">
        <v>489</v>
      </c>
      <c r="EA48" t="s">
        <v>490</v>
      </c>
      <c r="EB48" t="s">
        <v>489</v>
      </c>
      <c r="EC48" t="s">
        <v>490</v>
      </c>
      <c r="ED48" t="s">
        <v>490</v>
      </c>
      <c r="EE48" t="s">
        <v>490</v>
      </c>
      <c r="EF48" t="s">
        <v>489</v>
      </c>
      <c r="EG48" t="s">
        <v>490</v>
      </c>
      <c r="EH48" t="s">
        <v>490</v>
      </c>
      <c r="EI48" t="s">
        <v>489</v>
      </c>
      <c r="EJ48" t="s">
        <v>490</v>
      </c>
      <c r="EK48" t="s">
        <v>490</v>
      </c>
      <c r="EL48" t="s">
        <v>489</v>
      </c>
      <c r="EM48" t="s">
        <v>490</v>
      </c>
      <c r="EN48" t="s">
        <v>490</v>
      </c>
      <c r="EO48" t="s">
        <v>489</v>
      </c>
      <c r="EP48" t="s">
        <v>490</v>
      </c>
      <c r="EQ48" t="s">
        <v>490</v>
      </c>
      <c r="ER48" t="s">
        <v>489</v>
      </c>
      <c r="ES48" t="s">
        <v>490</v>
      </c>
      <c r="ET48" t="s">
        <v>489</v>
      </c>
      <c r="EU48" t="s">
        <v>490</v>
      </c>
      <c r="EV48" t="s">
        <v>490</v>
      </c>
      <c r="EW48" t="s">
        <v>490</v>
      </c>
      <c r="EX48" t="s">
        <v>489</v>
      </c>
      <c r="EY48">
        <v>60</v>
      </c>
      <c r="EZ48">
        <v>75</v>
      </c>
      <c r="FA48">
        <v>25</v>
      </c>
      <c r="FB48" t="s">
        <v>491</v>
      </c>
      <c r="FC48">
        <v>0</v>
      </c>
      <c r="FD48">
        <v>5</v>
      </c>
      <c r="FE48">
        <v>0</v>
      </c>
      <c r="FF48">
        <v>1500</v>
      </c>
      <c r="GG48">
        <v>0</v>
      </c>
      <c r="GH48">
        <v>0</v>
      </c>
      <c r="GI48">
        <v>100</v>
      </c>
      <c r="GJ48">
        <v>0</v>
      </c>
      <c r="GK48">
        <v>100</v>
      </c>
      <c r="GL48">
        <v>0</v>
      </c>
      <c r="HK48">
        <v>350</v>
      </c>
      <c r="HL48">
        <v>50</v>
      </c>
      <c r="HN48">
        <v>400</v>
      </c>
      <c r="HS48">
        <v>350</v>
      </c>
      <c r="HT48">
        <v>50</v>
      </c>
      <c r="HV48">
        <v>400</v>
      </c>
      <c r="II48">
        <v>100</v>
      </c>
      <c r="IJ48">
        <v>0</v>
      </c>
      <c r="IK48">
        <v>0</v>
      </c>
      <c r="IL48">
        <v>100</v>
      </c>
      <c r="IM48">
        <v>0</v>
      </c>
      <c r="IN48">
        <v>0</v>
      </c>
      <c r="IR48">
        <v>100</v>
      </c>
      <c r="IS48">
        <v>0</v>
      </c>
      <c r="IT48">
        <v>0</v>
      </c>
      <c r="JI48">
        <v>0</v>
      </c>
      <c r="JM48">
        <v>2</v>
      </c>
      <c r="JQ48">
        <v>0</v>
      </c>
      <c r="KE48">
        <v>0</v>
      </c>
      <c r="KH48">
        <v>0</v>
      </c>
      <c r="KJ48">
        <v>400</v>
      </c>
      <c r="KM48">
        <v>10</v>
      </c>
      <c r="KO48">
        <v>0</v>
      </c>
      <c r="KP48">
        <v>100</v>
      </c>
      <c r="KQ48">
        <v>0</v>
      </c>
      <c r="KX48">
        <v>0</v>
      </c>
      <c r="KY48">
        <v>100</v>
      </c>
      <c r="KZ48">
        <v>0</v>
      </c>
      <c r="LN48">
        <v>1</v>
      </c>
      <c r="MD48">
        <v>0</v>
      </c>
      <c r="MZ48">
        <v>400</v>
      </c>
      <c r="NG48">
        <v>1</v>
      </c>
      <c r="NH48">
        <v>0</v>
      </c>
      <c r="NN48">
        <v>0</v>
      </c>
      <c r="OH48" s="15">
        <v>8</v>
      </c>
      <c r="OI48" s="15">
        <v>7</v>
      </c>
      <c r="OJ48" s="15">
        <v>5</v>
      </c>
      <c r="OK48" s="15">
        <v>1</v>
      </c>
      <c r="OL48" s="15">
        <v>7</v>
      </c>
      <c r="OM48" s="15">
        <v>2</v>
      </c>
      <c r="ON48" s="15">
        <v>5</v>
      </c>
      <c r="OO48" s="15">
        <v>7</v>
      </c>
      <c r="OQ48" t="s">
        <v>488</v>
      </c>
      <c r="OR48" t="s">
        <v>487</v>
      </c>
      <c r="OS48" t="s">
        <v>489</v>
      </c>
      <c r="OT48" t="s">
        <v>490</v>
      </c>
      <c r="OU48" t="s">
        <v>490</v>
      </c>
      <c r="OV48" t="s">
        <v>490</v>
      </c>
      <c r="OW48" t="s">
        <v>490</v>
      </c>
      <c r="OY48">
        <v>75</v>
      </c>
      <c r="OZ48">
        <v>50</v>
      </c>
      <c r="PA48">
        <v>50</v>
      </c>
      <c r="PB48">
        <v>50</v>
      </c>
      <c r="PC48">
        <v>0</v>
      </c>
      <c r="PD48">
        <v>0</v>
      </c>
      <c r="PE48">
        <v>0</v>
      </c>
      <c r="PF48">
        <v>0</v>
      </c>
      <c r="PG48">
        <v>0</v>
      </c>
      <c r="PH48">
        <v>0</v>
      </c>
      <c r="PI48">
        <v>90</v>
      </c>
      <c r="PJ48">
        <v>0</v>
      </c>
      <c r="PK48">
        <v>75</v>
      </c>
      <c r="PL48">
        <v>75</v>
      </c>
      <c r="PM48">
        <v>0</v>
      </c>
      <c r="PN48">
        <v>0</v>
      </c>
      <c r="PO48">
        <v>50</v>
      </c>
      <c r="PP48">
        <v>0</v>
      </c>
      <c r="PQ48">
        <v>0</v>
      </c>
      <c r="PR48">
        <v>0</v>
      </c>
      <c r="PT48" t="s">
        <v>488</v>
      </c>
      <c r="PU48" t="s">
        <v>497</v>
      </c>
      <c r="PV48">
        <v>2500</v>
      </c>
      <c r="PW48">
        <v>0</v>
      </c>
      <c r="PX48">
        <v>2500</v>
      </c>
      <c r="PY48" t="s">
        <v>493</v>
      </c>
      <c r="PZ48" t="s">
        <v>493</v>
      </c>
      <c r="QA48">
        <v>5</v>
      </c>
      <c r="QB48">
        <v>95</v>
      </c>
      <c r="QC48">
        <v>95</v>
      </c>
      <c r="QD48">
        <v>5</v>
      </c>
      <c r="QE48" t="s">
        <v>508</v>
      </c>
      <c r="QZ48">
        <v>0.3</v>
      </c>
      <c r="RA48">
        <v>0.5</v>
      </c>
      <c r="RB48" t="s">
        <v>489</v>
      </c>
      <c r="RC48" t="s">
        <v>490</v>
      </c>
      <c r="RD48" t="s">
        <v>490</v>
      </c>
      <c r="RE48" t="s">
        <v>490</v>
      </c>
      <c r="RF48" t="s">
        <v>490</v>
      </c>
      <c r="RG48" t="s">
        <v>490</v>
      </c>
      <c r="RH48" t="s">
        <v>490</v>
      </c>
      <c r="RI48" t="s">
        <v>490</v>
      </c>
      <c r="RL48" t="s">
        <v>531</v>
      </c>
    </row>
    <row r="49" spans="1:486">
      <c r="A49">
        <v>1004449</v>
      </c>
      <c r="B49" t="s">
        <v>503</v>
      </c>
      <c r="C49" t="s">
        <v>972</v>
      </c>
      <c r="D49" t="s">
        <v>504</v>
      </c>
      <c r="E49" t="s">
        <v>500</v>
      </c>
      <c r="F49" t="s">
        <v>496</v>
      </c>
      <c r="G49">
        <v>63.19</v>
      </c>
      <c r="H49" t="s">
        <v>487</v>
      </c>
      <c r="I49" t="s">
        <v>487</v>
      </c>
      <c r="J49" t="s">
        <v>487</v>
      </c>
      <c r="K49" t="s">
        <v>487</v>
      </c>
      <c r="L49" t="s">
        <v>489</v>
      </c>
      <c r="M49" t="s">
        <v>489</v>
      </c>
      <c r="N49" t="s">
        <v>490</v>
      </c>
      <c r="O49" t="s">
        <v>489</v>
      </c>
      <c r="P49" t="s">
        <v>490</v>
      </c>
      <c r="Q49" t="s">
        <v>490</v>
      </c>
      <c r="R49" t="s">
        <v>489</v>
      </c>
      <c r="S49" t="s">
        <v>489</v>
      </c>
      <c r="T49" t="s">
        <v>489</v>
      </c>
      <c r="U49" t="s">
        <v>490</v>
      </c>
      <c r="V49" t="s">
        <v>490</v>
      </c>
      <c r="W49" t="s">
        <v>489</v>
      </c>
      <c r="X49" t="s">
        <v>490</v>
      </c>
      <c r="Y49" t="s">
        <v>490</v>
      </c>
      <c r="Z49" t="s">
        <v>490</v>
      </c>
      <c r="AA49" t="s">
        <v>490</v>
      </c>
      <c r="AB49" t="s">
        <v>489</v>
      </c>
      <c r="AC49" t="s">
        <v>490</v>
      </c>
      <c r="AD49" t="s">
        <v>490</v>
      </c>
      <c r="AE49" t="s">
        <v>489</v>
      </c>
      <c r="AF49" t="s">
        <v>489</v>
      </c>
      <c r="AG49" t="s">
        <v>490</v>
      </c>
      <c r="AH49" t="s">
        <v>490</v>
      </c>
      <c r="AI49" t="s">
        <v>489</v>
      </c>
      <c r="AJ49" t="s">
        <v>490</v>
      </c>
      <c r="AK49" t="s">
        <v>490</v>
      </c>
      <c r="AL49" t="s">
        <v>490</v>
      </c>
      <c r="AM49" t="s">
        <v>490</v>
      </c>
      <c r="AN49" t="s">
        <v>489</v>
      </c>
      <c r="AO49" t="s">
        <v>490</v>
      </c>
      <c r="AP49" t="s">
        <v>490</v>
      </c>
      <c r="AQ49" t="s">
        <v>489</v>
      </c>
      <c r="AR49" t="s">
        <v>490</v>
      </c>
      <c r="AS49" t="s">
        <v>490</v>
      </c>
      <c r="AT49" t="s">
        <v>489</v>
      </c>
      <c r="AU49" t="s">
        <v>490</v>
      </c>
      <c r="AV49" t="s">
        <v>490</v>
      </c>
      <c r="AW49" t="s">
        <v>489</v>
      </c>
      <c r="AX49" t="s">
        <v>489</v>
      </c>
      <c r="AY49" t="s">
        <v>489</v>
      </c>
      <c r="AZ49" t="s">
        <v>490</v>
      </c>
      <c r="BA49" t="s">
        <v>489</v>
      </c>
      <c r="BB49" t="s">
        <v>489</v>
      </c>
      <c r="BC49" t="s">
        <v>490</v>
      </c>
      <c r="BD49" t="s">
        <v>490</v>
      </c>
      <c r="BE49" t="s">
        <v>490</v>
      </c>
      <c r="BF49" t="s">
        <v>489</v>
      </c>
      <c r="BG49" t="s">
        <v>489</v>
      </c>
      <c r="BH49" t="s">
        <v>489</v>
      </c>
      <c r="BI49" t="s">
        <v>490</v>
      </c>
      <c r="BJ49" t="s">
        <v>489</v>
      </c>
      <c r="BK49" t="s">
        <v>489</v>
      </c>
      <c r="BL49" t="s">
        <v>490</v>
      </c>
      <c r="BM49" t="s">
        <v>489</v>
      </c>
      <c r="BN49" t="s">
        <v>489</v>
      </c>
      <c r="BO49" t="s">
        <v>490</v>
      </c>
      <c r="BP49" t="s">
        <v>490</v>
      </c>
      <c r="BQ49" t="s">
        <v>490</v>
      </c>
      <c r="BR49" t="s">
        <v>489</v>
      </c>
      <c r="BS49" t="s">
        <v>490</v>
      </c>
      <c r="BT49" t="s">
        <v>490</v>
      </c>
      <c r="BU49" t="s">
        <v>489</v>
      </c>
      <c r="CB49" t="s">
        <v>489</v>
      </c>
      <c r="CC49" t="s">
        <v>489</v>
      </c>
      <c r="CD49" t="s">
        <v>490</v>
      </c>
      <c r="CE49" t="s">
        <v>490</v>
      </c>
      <c r="CF49" t="s">
        <v>490</v>
      </c>
      <c r="CG49" t="s">
        <v>489</v>
      </c>
      <c r="CH49" t="s">
        <v>489</v>
      </c>
      <c r="CI49" t="s">
        <v>489</v>
      </c>
      <c r="CJ49" t="s">
        <v>490</v>
      </c>
      <c r="CK49" t="s">
        <v>489</v>
      </c>
      <c r="CL49" t="s">
        <v>489</v>
      </c>
      <c r="CM49" t="s">
        <v>490</v>
      </c>
      <c r="CN49" t="s">
        <v>490</v>
      </c>
      <c r="CO49" t="s">
        <v>490</v>
      </c>
      <c r="CP49" t="s">
        <v>489</v>
      </c>
      <c r="DI49" t="s">
        <v>490</v>
      </c>
      <c r="DJ49" t="s">
        <v>490</v>
      </c>
      <c r="DK49" t="s">
        <v>489</v>
      </c>
      <c r="DL49" t="s">
        <v>490</v>
      </c>
      <c r="DM49" t="s">
        <v>490</v>
      </c>
      <c r="DN49" t="s">
        <v>489</v>
      </c>
      <c r="DO49" t="s">
        <v>490</v>
      </c>
      <c r="DP49" t="s">
        <v>490</v>
      </c>
      <c r="DQ49" t="s">
        <v>489</v>
      </c>
      <c r="DR49" t="s">
        <v>489</v>
      </c>
      <c r="DS49" t="s">
        <v>489</v>
      </c>
      <c r="DT49" t="s">
        <v>490</v>
      </c>
      <c r="DU49" t="s">
        <v>489</v>
      </c>
      <c r="DV49" t="s">
        <v>489</v>
      </c>
      <c r="DW49" t="s">
        <v>490</v>
      </c>
      <c r="DX49" t="s">
        <v>490</v>
      </c>
      <c r="DY49" t="s">
        <v>490</v>
      </c>
      <c r="DZ49" t="s">
        <v>489</v>
      </c>
      <c r="EA49" t="s">
        <v>490</v>
      </c>
      <c r="EB49" t="s">
        <v>490</v>
      </c>
      <c r="EC49" t="s">
        <v>489</v>
      </c>
      <c r="ED49" t="s">
        <v>490</v>
      </c>
      <c r="EE49" t="s">
        <v>489</v>
      </c>
      <c r="EF49" t="s">
        <v>490</v>
      </c>
      <c r="EG49" t="s">
        <v>490</v>
      </c>
      <c r="EH49" t="s">
        <v>489</v>
      </c>
      <c r="EI49" t="s">
        <v>490</v>
      </c>
      <c r="EJ49" t="s">
        <v>490</v>
      </c>
      <c r="EK49" t="s">
        <v>490</v>
      </c>
      <c r="EL49" t="s">
        <v>489</v>
      </c>
      <c r="EM49" t="s">
        <v>490</v>
      </c>
      <c r="EN49" t="s">
        <v>490</v>
      </c>
      <c r="EO49" t="s">
        <v>489</v>
      </c>
      <c r="EP49" t="s">
        <v>490</v>
      </c>
      <c r="EQ49" t="s">
        <v>490</v>
      </c>
      <c r="ER49" t="s">
        <v>489</v>
      </c>
      <c r="ES49" t="s">
        <v>490</v>
      </c>
      <c r="ET49" t="s">
        <v>489</v>
      </c>
      <c r="EU49" t="s">
        <v>490</v>
      </c>
      <c r="EV49" t="s">
        <v>490</v>
      </c>
      <c r="EW49" t="s">
        <v>490</v>
      </c>
      <c r="EX49" t="s">
        <v>489</v>
      </c>
      <c r="EY49">
        <v>90</v>
      </c>
      <c r="EZ49">
        <v>90</v>
      </c>
      <c r="FA49">
        <v>10</v>
      </c>
      <c r="FB49" t="s">
        <v>543</v>
      </c>
      <c r="OH49" s="15">
        <v>9</v>
      </c>
      <c r="OI49" s="15">
        <v>9</v>
      </c>
      <c r="OJ49" s="15">
        <v>9</v>
      </c>
      <c r="OK49" s="15">
        <v>5</v>
      </c>
      <c r="OL49" s="15">
        <v>9</v>
      </c>
      <c r="OM49" s="15">
        <v>9</v>
      </c>
      <c r="ON49" s="15">
        <v>5</v>
      </c>
      <c r="OO49" s="15">
        <v>5</v>
      </c>
      <c r="OQ49" t="s">
        <v>487</v>
      </c>
      <c r="OR49" t="s">
        <v>487</v>
      </c>
      <c r="OS49" t="s">
        <v>489</v>
      </c>
      <c r="OT49" t="s">
        <v>489</v>
      </c>
      <c r="OU49" t="s">
        <v>490</v>
      </c>
      <c r="OV49" t="s">
        <v>490</v>
      </c>
      <c r="OW49" t="s">
        <v>490</v>
      </c>
      <c r="OY49">
        <v>90</v>
      </c>
      <c r="OZ49">
        <v>72</v>
      </c>
      <c r="PA49">
        <v>5</v>
      </c>
      <c r="PB49">
        <v>0</v>
      </c>
      <c r="PC49">
        <v>5</v>
      </c>
      <c r="PD49">
        <v>1</v>
      </c>
      <c r="PE49">
        <v>1</v>
      </c>
      <c r="PF49">
        <v>0</v>
      </c>
      <c r="PG49">
        <v>0</v>
      </c>
      <c r="PH49">
        <v>0</v>
      </c>
      <c r="PI49">
        <v>95</v>
      </c>
      <c r="PJ49">
        <v>85</v>
      </c>
      <c r="PK49">
        <v>85</v>
      </c>
      <c r="PL49">
        <v>85</v>
      </c>
      <c r="PM49">
        <v>85</v>
      </c>
      <c r="PN49">
        <v>5</v>
      </c>
      <c r="PO49">
        <v>5</v>
      </c>
      <c r="PP49">
        <v>20</v>
      </c>
      <c r="PQ49">
        <v>0</v>
      </c>
      <c r="PR49">
        <v>0</v>
      </c>
      <c r="PT49" t="s">
        <v>488</v>
      </c>
      <c r="PU49" t="s">
        <v>515</v>
      </c>
      <c r="PV49">
        <v>100000</v>
      </c>
      <c r="PW49">
        <v>59000</v>
      </c>
      <c r="PX49">
        <v>159000</v>
      </c>
      <c r="PY49" t="s">
        <v>493</v>
      </c>
      <c r="PZ49" t="s">
        <v>493</v>
      </c>
      <c r="QA49">
        <v>50</v>
      </c>
      <c r="QB49">
        <v>50</v>
      </c>
      <c r="QC49">
        <v>90</v>
      </c>
      <c r="QD49">
        <v>10</v>
      </c>
      <c r="QE49" t="s">
        <v>508</v>
      </c>
      <c r="QZ49">
        <v>5</v>
      </c>
      <c r="RA49">
        <v>1</v>
      </c>
      <c r="RB49" t="s">
        <v>489</v>
      </c>
      <c r="RC49" t="s">
        <v>490</v>
      </c>
      <c r="RD49" t="s">
        <v>489</v>
      </c>
      <c r="RE49" t="s">
        <v>489</v>
      </c>
      <c r="RF49" t="s">
        <v>490</v>
      </c>
      <c r="RG49" t="s">
        <v>490</v>
      </c>
      <c r="RH49" t="s">
        <v>490</v>
      </c>
      <c r="RI49" t="s">
        <v>490</v>
      </c>
    </row>
    <row r="50" spans="1:486">
      <c r="A50">
        <v>12020</v>
      </c>
      <c r="B50" t="s">
        <v>503</v>
      </c>
      <c r="C50" t="s">
        <v>972</v>
      </c>
      <c r="D50" t="s">
        <v>504</v>
      </c>
      <c r="E50" t="s">
        <v>500</v>
      </c>
      <c r="F50" t="s">
        <v>496</v>
      </c>
      <c r="G50">
        <v>60</v>
      </c>
      <c r="H50" t="s">
        <v>487</v>
      </c>
      <c r="I50" t="s">
        <v>487</v>
      </c>
      <c r="J50" t="s">
        <v>487</v>
      </c>
      <c r="K50" t="s">
        <v>487</v>
      </c>
      <c r="L50" t="s">
        <v>489</v>
      </c>
      <c r="M50" t="s">
        <v>489</v>
      </c>
      <c r="N50" t="s">
        <v>489</v>
      </c>
      <c r="O50" t="s">
        <v>489</v>
      </c>
      <c r="P50" t="s">
        <v>490</v>
      </c>
      <c r="Q50" t="s">
        <v>490</v>
      </c>
      <c r="R50" t="s">
        <v>489</v>
      </c>
      <c r="S50" t="s">
        <v>490</v>
      </c>
      <c r="T50" t="s">
        <v>489</v>
      </c>
      <c r="U50" t="s">
        <v>490</v>
      </c>
      <c r="V50" t="s">
        <v>490</v>
      </c>
      <c r="W50" t="s">
        <v>489</v>
      </c>
      <c r="X50" t="s">
        <v>490</v>
      </c>
      <c r="Y50" t="s">
        <v>490</v>
      </c>
      <c r="Z50" t="s">
        <v>490</v>
      </c>
      <c r="AA50" t="s">
        <v>490</v>
      </c>
      <c r="AB50" t="s">
        <v>489</v>
      </c>
      <c r="AC50" t="s">
        <v>490</v>
      </c>
      <c r="AD50" t="s">
        <v>490</v>
      </c>
      <c r="AE50" t="s">
        <v>489</v>
      </c>
      <c r="AF50" t="s">
        <v>489</v>
      </c>
      <c r="AG50" t="s">
        <v>490</v>
      </c>
      <c r="AH50" t="s">
        <v>490</v>
      </c>
      <c r="AI50" t="s">
        <v>489</v>
      </c>
      <c r="AJ50" t="s">
        <v>490</v>
      </c>
      <c r="AK50" t="s">
        <v>490</v>
      </c>
      <c r="AL50" t="s">
        <v>490</v>
      </c>
      <c r="AM50" t="s">
        <v>490</v>
      </c>
      <c r="AN50" t="s">
        <v>489</v>
      </c>
      <c r="AO50" t="s">
        <v>490</v>
      </c>
      <c r="AP50" t="s">
        <v>490</v>
      </c>
      <c r="AQ50" t="s">
        <v>489</v>
      </c>
      <c r="AR50" t="s">
        <v>490</v>
      </c>
      <c r="AS50" t="s">
        <v>490</v>
      </c>
      <c r="AT50" t="s">
        <v>489</v>
      </c>
      <c r="AU50" t="s">
        <v>489</v>
      </c>
      <c r="AV50" t="s">
        <v>490</v>
      </c>
      <c r="AW50" t="s">
        <v>490</v>
      </c>
      <c r="AX50" t="s">
        <v>489</v>
      </c>
      <c r="AY50" t="s">
        <v>489</v>
      </c>
      <c r="AZ50" t="s">
        <v>490</v>
      </c>
      <c r="BA50" t="s">
        <v>489</v>
      </c>
      <c r="BB50" t="s">
        <v>489</v>
      </c>
      <c r="BC50" t="s">
        <v>490</v>
      </c>
      <c r="BD50" t="s">
        <v>490</v>
      </c>
      <c r="BE50" t="s">
        <v>490</v>
      </c>
      <c r="BF50" t="s">
        <v>489</v>
      </c>
      <c r="BG50" t="s">
        <v>489</v>
      </c>
      <c r="BH50" t="s">
        <v>489</v>
      </c>
      <c r="BI50" t="s">
        <v>490</v>
      </c>
      <c r="BJ50" t="s">
        <v>489</v>
      </c>
      <c r="BK50" t="s">
        <v>489</v>
      </c>
      <c r="BL50" t="s">
        <v>490</v>
      </c>
      <c r="BM50" t="s">
        <v>489</v>
      </c>
      <c r="BN50" t="s">
        <v>489</v>
      </c>
      <c r="BO50" t="s">
        <v>490</v>
      </c>
      <c r="BP50" t="s">
        <v>490</v>
      </c>
      <c r="BQ50" t="s">
        <v>490</v>
      </c>
      <c r="BR50" t="s">
        <v>489</v>
      </c>
      <c r="BS50" t="s">
        <v>490</v>
      </c>
      <c r="BT50" t="s">
        <v>490</v>
      </c>
      <c r="BU50" t="s">
        <v>489</v>
      </c>
      <c r="BV50" t="s">
        <v>490</v>
      </c>
      <c r="BW50" t="s">
        <v>490</v>
      </c>
      <c r="BX50" t="s">
        <v>489</v>
      </c>
      <c r="BY50" t="s">
        <v>489</v>
      </c>
      <c r="BZ50" t="s">
        <v>489</v>
      </c>
      <c r="CA50" t="s">
        <v>490</v>
      </c>
      <c r="CB50" t="s">
        <v>489</v>
      </c>
      <c r="CC50" t="s">
        <v>489</v>
      </c>
      <c r="CD50" t="s">
        <v>490</v>
      </c>
      <c r="CE50" t="s">
        <v>489</v>
      </c>
      <c r="CF50" t="s">
        <v>489</v>
      </c>
      <c r="CG50" t="s">
        <v>490</v>
      </c>
      <c r="CH50" t="s">
        <v>489</v>
      </c>
      <c r="CI50" t="s">
        <v>489</v>
      </c>
      <c r="CJ50" t="s">
        <v>490</v>
      </c>
      <c r="CK50" t="s">
        <v>489</v>
      </c>
      <c r="CL50" t="s">
        <v>489</v>
      </c>
      <c r="CM50" t="s">
        <v>490</v>
      </c>
      <c r="CN50" t="s">
        <v>489</v>
      </c>
      <c r="CO50" t="s">
        <v>489</v>
      </c>
      <c r="CP50" t="s">
        <v>490</v>
      </c>
      <c r="DI50" t="s">
        <v>490</v>
      </c>
      <c r="DJ50" t="s">
        <v>490</v>
      </c>
      <c r="DK50" t="s">
        <v>489</v>
      </c>
      <c r="DL50" t="s">
        <v>490</v>
      </c>
      <c r="DM50" t="s">
        <v>490</v>
      </c>
      <c r="DN50" t="s">
        <v>489</v>
      </c>
      <c r="DO50" t="s">
        <v>490</v>
      </c>
      <c r="DP50" t="s">
        <v>490</v>
      </c>
      <c r="DQ50" t="s">
        <v>489</v>
      </c>
      <c r="DR50" t="s">
        <v>489</v>
      </c>
      <c r="DS50" t="s">
        <v>489</v>
      </c>
      <c r="DT50" t="s">
        <v>490</v>
      </c>
      <c r="DU50" t="s">
        <v>489</v>
      </c>
      <c r="DV50" t="s">
        <v>489</v>
      </c>
      <c r="DW50" t="s">
        <v>490</v>
      </c>
      <c r="DX50" t="s">
        <v>490</v>
      </c>
      <c r="DY50" t="s">
        <v>490</v>
      </c>
      <c r="DZ50" t="s">
        <v>489</v>
      </c>
      <c r="EY50">
        <v>98</v>
      </c>
      <c r="EZ50">
        <v>75</v>
      </c>
      <c r="FA50">
        <v>25</v>
      </c>
      <c r="FB50" t="s">
        <v>543</v>
      </c>
      <c r="OH50" s="15">
        <v>9</v>
      </c>
      <c r="OI50" s="15">
        <v>6</v>
      </c>
      <c r="OJ50" s="15">
        <v>8</v>
      </c>
      <c r="OK50" s="15">
        <v>3</v>
      </c>
      <c r="OL50" s="15">
        <v>9</v>
      </c>
      <c r="OM50" s="15">
        <v>7</v>
      </c>
      <c r="ON50" s="15">
        <v>6</v>
      </c>
      <c r="OO50" s="15">
        <v>1</v>
      </c>
      <c r="OQ50" t="s">
        <v>487</v>
      </c>
      <c r="OR50" t="s">
        <v>487</v>
      </c>
      <c r="OS50" t="s">
        <v>489</v>
      </c>
      <c r="OT50" t="s">
        <v>489</v>
      </c>
      <c r="OU50" t="s">
        <v>490</v>
      </c>
      <c r="OV50" t="s">
        <v>490</v>
      </c>
      <c r="OW50" t="s">
        <v>490</v>
      </c>
      <c r="OY50">
        <v>5</v>
      </c>
      <c r="OZ50">
        <v>98</v>
      </c>
      <c r="PA50">
        <v>98</v>
      </c>
      <c r="PB50">
        <v>10</v>
      </c>
      <c r="PC50">
        <v>0</v>
      </c>
      <c r="PD50">
        <v>0</v>
      </c>
      <c r="PE50">
        <v>0</v>
      </c>
      <c r="PF50">
        <v>98</v>
      </c>
      <c r="PG50">
        <v>0</v>
      </c>
      <c r="PH50">
        <v>0</v>
      </c>
      <c r="PI50">
        <v>5</v>
      </c>
      <c r="PJ50">
        <v>100</v>
      </c>
      <c r="PK50">
        <v>100</v>
      </c>
      <c r="PL50">
        <v>50</v>
      </c>
      <c r="PM50">
        <v>0</v>
      </c>
      <c r="PN50">
        <v>0</v>
      </c>
      <c r="PO50">
        <v>0</v>
      </c>
      <c r="PP50">
        <v>100</v>
      </c>
      <c r="PQ50">
        <v>0</v>
      </c>
      <c r="PR50">
        <v>0</v>
      </c>
      <c r="PT50" t="s">
        <v>488</v>
      </c>
      <c r="PU50" t="s">
        <v>497</v>
      </c>
      <c r="PV50">
        <v>40000</v>
      </c>
      <c r="PW50">
        <v>0</v>
      </c>
      <c r="PX50">
        <v>40000</v>
      </c>
      <c r="PY50" t="s">
        <v>493</v>
      </c>
      <c r="PZ50" t="s">
        <v>493</v>
      </c>
      <c r="QA50">
        <v>80</v>
      </c>
      <c r="QB50">
        <v>20</v>
      </c>
      <c r="QC50">
        <v>75</v>
      </c>
      <c r="QD50">
        <v>25</v>
      </c>
      <c r="QE50" t="s">
        <v>508</v>
      </c>
      <c r="QZ50">
        <v>1</v>
      </c>
      <c r="RA50">
        <v>0</v>
      </c>
      <c r="RB50" t="s">
        <v>489</v>
      </c>
      <c r="RC50" t="s">
        <v>490</v>
      </c>
      <c r="RD50" t="s">
        <v>489</v>
      </c>
      <c r="RE50" t="s">
        <v>489</v>
      </c>
      <c r="RF50" t="s">
        <v>490</v>
      </c>
      <c r="RG50" t="s">
        <v>490</v>
      </c>
      <c r="RH50" t="s">
        <v>490</v>
      </c>
      <c r="RI50" t="s">
        <v>490</v>
      </c>
    </row>
    <row r="51" spans="1:486">
      <c r="A51">
        <v>11732</v>
      </c>
      <c r="B51" t="s">
        <v>503</v>
      </c>
      <c r="C51" t="s">
        <v>972</v>
      </c>
      <c r="D51" t="s">
        <v>504</v>
      </c>
      <c r="E51" t="s">
        <v>500</v>
      </c>
      <c r="F51" t="s">
        <v>496</v>
      </c>
      <c r="G51">
        <v>9</v>
      </c>
      <c r="H51" t="s">
        <v>487</v>
      </c>
      <c r="I51" t="s">
        <v>487</v>
      </c>
      <c r="J51" t="s">
        <v>487</v>
      </c>
      <c r="K51" t="s">
        <v>487</v>
      </c>
      <c r="L51" t="s">
        <v>489</v>
      </c>
      <c r="M51" t="s">
        <v>489</v>
      </c>
      <c r="N51" t="s">
        <v>489</v>
      </c>
      <c r="O51" t="s">
        <v>489</v>
      </c>
      <c r="P51" t="s">
        <v>490</v>
      </c>
      <c r="Q51" t="s">
        <v>490</v>
      </c>
      <c r="R51" t="s">
        <v>489</v>
      </c>
      <c r="S51" t="s">
        <v>489</v>
      </c>
      <c r="T51" t="s">
        <v>489</v>
      </c>
      <c r="U51" t="s">
        <v>490</v>
      </c>
      <c r="V51" t="s">
        <v>490</v>
      </c>
      <c r="W51" t="s">
        <v>489</v>
      </c>
      <c r="X51" t="s">
        <v>490</v>
      </c>
      <c r="Y51" t="s">
        <v>490</v>
      </c>
      <c r="Z51" t="s">
        <v>490</v>
      </c>
      <c r="AA51" t="s">
        <v>490</v>
      </c>
      <c r="AB51" t="s">
        <v>489</v>
      </c>
      <c r="AC51" t="s">
        <v>489</v>
      </c>
      <c r="AD51" t="s">
        <v>489</v>
      </c>
      <c r="AE51" t="s">
        <v>490</v>
      </c>
      <c r="AF51" t="s">
        <v>489</v>
      </c>
      <c r="AG51" t="s">
        <v>490</v>
      </c>
      <c r="AH51" t="s">
        <v>490</v>
      </c>
      <c r="AI51" t="s">
        <v>490</v>
      </c>
      <c r="AJ51" t="s">
        <v>490</v>
      </c>
      <c r="AK51" t="s">
        <v>489</v>
      </c>
      <c r="AL51" t="s">
        <v>490</v>
      </c>
      <c r="AM51" t="s">
        <v>490</v>
      </c>
      <c r="AN51" t="s">
        <v>489</v>
      </c>
      <c r="AO51" t="s">
        <v>489</v>
      </c>
      <c r="AP51" t="s">
        <v>489</v>
      </c>
      <c r="AQ51" t="s">
        <v>490</v>
      </c>
      <c r="AR51" t="s">
        <v>490</v>
      </c>
      <c r="AS51" t="s">
        <v>490</v>
      </c>
      <c r="AT51" t="s">
        <v>489</v>
      </c>
      <c r="AU51" t="s">
        <v>489</v>
      </c>
      <c r="AV51" t="s">
        <v>489</v>
      </c>
      <c r="AW51" t="s">
        <v>490</v>
      </c>
      <c r="AX51" t="s">
        <v>489</v>
      </c>
      <c r="AY51" t="s">
        <v>489</v>
      </c>
      <c r="AZ51" t="s">
        <v>490</v>
      </c>
      <c r="BA51" t="s">
        <v>489</v>
      </c>
      <c r="BB51" t="s">
        <v>489</v>
      </c>
      <c r="BC51" t="s">
        <v>490</v>
      </c>
      <c r="BD51" t="s">
        <v>489</v>
      </c>
      <c r="BE51" t="s">
        <v>489</v>
      </c>
      <c r="BF51" t="s">
        <v>490</v>
      </c>
      <c r="BG51" t="s">
        <v>489</v>
      </c>
      <c r="BH51" t="s">
        <v>489</v>
      </c>
      <c r="BI51" t="s">
        <v>490</v>
      </c>
      <c r="BJ51" t="s">
        <v>489</v>
      </c>
      <c r="BK51" t="s">
        <v>489</v>
      </c>
      <c r="BL51" t="s">
        <v>490</v>
      </c>
      <c r="BM51" t="s">
        <v>489</v>
      </c>
      <c r="BN51" t="s">
        <v>489</v>
      </c>
      <c r="BO51" t="s">
        <v>490</v>
      </c>
      <c r="BP51" t="s">
        <v>490</v>
      </c>
      <c r="BQ51" t="s">
        <v>490</v>
      </c>
      <c r="BR51" t="s">
        <v>489</v>
      </c>
      <c r="BS51" t="s">
        <v>489</v>
      </c>
      <c r="BT51" t="s">
        <v>489</v>
      </c>
      <c r="BU51" t="s">
        <v>490</v>
      </c>
      <c r="BV51" t="s">
        <v>489</v>
      </c>
      <c r="BW51" t="s">
        <v>490</v>
      </c>
      <c r="BX51" t="s">
        <v>490</v>
      </c>
      <c r="BY51" t="s">
        <v>489</v>
      </c>
      <c r="BZ51" t="s">
        <v>490</v>
      </c>
      <c r="CA51" t="s">
        <v>490</v>
      </c>
      <c r="CB51" t="s">
        <v>489</v>
      </c>
      <c r="CC51" t="s">
        <v>490</v>
      </c>
      <c r="CD51" t="s">
        <v>490</v>
      </c>
      <c r="CE51" t="s">
        <v>489</v>
      </c>
      <c r="CF51" t="s">
        <v>490</v>
      </c>
      <c r="CG51" t="s">
        <v>490</v>
      </c>
      <c r="CH51" t="s">
        <v>489</v>
      </c>
      <c r="CI51" t="s">
        <v>490</v>
      </c>
      <c r="CJ51" t="s">
        <v>490</v>
      </c>
      <c r="CK51" t="s">
        <v>489</v>
      </c>
      <c r="CL51" t="s">
        <v>490</v>
      </c>
      <c r="CM51" t="s">
        <v>490</v>
      </c>
      <c r="CN51" t="s">
        <v>489</v>
      </c>
      <c r="CO51" t="s">
        <v>490</v>
      </c>
      <c r="CP51" t="s">
        <v>490</v>
      </c>
      <c r="DI51" t="s">
        <v>489</v>
      </c>
      <c r="DJ51" t="s">
        <v>490</v>
      </c>
      <c r="DK51" t="s">
        <v>490</v>
      </c>
      <c r="DL51" t="s">
        <v>490</v>
      </c>
      <c r="DM51" t="s">
        <v>490</v>
      </c>
      <c r="DN51" t="s">
        <v>489</v>
      </c>
      <c r="DO51" t="s">
        <v>490</v>
      </c>
      <c r="DP51" t="s">
        <v>490</v>
      </c>
      <c r="DQ51" t="s">
        <v>489</v>
      </c>
      <c r="DR51" t="s">
        <v>489</v>
      </c>
      <c r="DS51" t="s">
        <v>490</v>
      </c>
      <c r="DT51" t="s">
        <v>490</v>
      </c>
      <c r="DU51" t="s">
        <v>489</v>
      </c>
      <c r="DV51" t="s">
        <v>490</v>
      </c>
      <c r="DW51" t="s">
        <v>490</v>
      </c>
      <c r="DX51" t="s">
        <v>489</v>
      </c>
      <c r="DY51" t="s">
        <v>490</v>
      </c>
      <c r="DZ51" t="s">
        <v>490</v>
      </c>
      <c r="EA51" t="s">
        <v>490</v>
      </c>
      <c r="EB51" t="s">
        <v>489</v>
      </c>
      <c r="EC51" t="s">
        <v>490</v>
      </c>
      <c r="ED51" t="s">
        <v>490</v>
      </c>
      <c r="EE51" t="s">
        <v>490</v>
      </c>
      <c r="EF51" t="s">
        <v>489</v>
      </c>
      <c r="EG51" t="s">
        <v>490</v>
      </c>
      <c r="EH51" t="s">
        <v>490</v>
      </c>
      <c r="EI51" t="s">
        <v>489</v>
      </c>
      <c r="EJ51" t="s">
        <v>490</v>
      </c>
      <c r="EK51" t="s">
        <v>490</v>
      </c>
      <c r="EL51" t="s">
        <v>489</v>
      </c>
      <c r="EM51" t="s">
        <v>490</v>
      </c>
      <c r="EN51" t="s">
        <v>490</v>
      </c>
      <c r="EO51" t="s">
        <v>489</v>
      </c>
      <c r="EP51" t="s">
        <v>490</v>
      </c>
      <c r="EQ51" t="s">
        <v>490</v>
      </c>
      <c r="ER51" t="s">
        <v>489</v>
      </c>
      <c r="ES51" t="s">
        <v>490</v>
      </c>
      <c r="ET51" t="s">
        <v>490</v>
      </c>
      <c r="EU51" t="s">
        <v>489</v>
      </c>
      <c r="EV51" t="s">
        <v>490</v>
      </c>
      <c r="EW51" t="s">
        <v>489</v>
      </c>
      <c r="EX51" t="s">
        <v>490</v>
      </c>
      <c r="EY51">
        <v>80</v>
      </c>
      <c r="EZ51">
        <v>50</v>
      </c>
      <c r="FA51">
        <v>40</v>
      </c>
      <c r="FB51" t="s">
        <v>543</v>
      </c>
      <c r="OH51" s="15">
        <v>10</v>
      </c>
      <c r="OI51" s="15">
        <v>10</v>
      </c>
      <c r="OJ51" s="15">
        <v>10</v>
      </c>
      <c r="OK51" s="15">
        <v>10</v>
      </c>
      <c r="OL51" s="15">
        <v>10</v>
      </c>
      <c r="OM51" s="15">
        <v>10</v>
      </c>
      <c r="ON51" s="15">
        <v>10</v>
      </c>
      <c r="OO51" s="15">
        <v>10</v>
      </c>
      <c r="OQ51" t="s">
        <v>487</v>
      </c>
      <c r="OR51" t="s">
        <v>487</v>
      </c>
      <c r="OS51" t="s">
        <v>489</v>
      </c>
      <c r="OT51" t="s">
        <v>489</v>
      </c>
      <c r="OU51" t="s">
        <v>490</v>
      </c>
      <c r="OV51" t="s">
        <v>490</v>
      </c>
      <c r="OW51" t="s">
        <v>490</v>
      </c>
      <c r="OY51">
        <v>80</v>
      </c>
      <c r="OZ51">
        <v>10</v>
      </c>
      <c r="PA51">
        <v>0</v>
      </c>
      <c r="PB51">
        <v>0</v>
      </c>
      <c r="PC51">
        <v>10</v>
      </c>
      <c r="PD51">
        <v>0</v>
      </c>
      <c r="PE51">
        <v>0</v>
      </c>
      <c r="PF51">
        <v>0</v>
      </c>
      <c r="PG51">
        <v>0</v>
      </c>
      <c r="PH51">
        <v>0</v>
      </c>
      <c r="PI51">
        <v>20</v>
      </c>
      <c r="PJ51">
        <v>50</v>
      </c>
      <c r="PK51">
        <v>50</v>
      </c>
      <c r="PL51">
        <v>50</v>
      </c>
      <c r="PM51">
        <v>50</v>
      </c>
      <c r="PN51">
        <v>0</v>
      </c>
      <c r="PO51">
        <v>0</v>
      </c>
      <c r="PP51">
        <v>0</v>
      </c>
      <c r="PQ51">
        <v>0</v>
      </c>
      <c r="PR51">
        <v>0</v>
      </c>
      <c r="PT51" t="s">
        <v>487</v>
      </c>
      <c r="PU51" t="s">
        <v>512</v>
      </c>
      <c r="PV51">
        <v>50000</v>
      </c>
      <c r="PW51">
        <v>50000</v>
      </c>
      <c r="PX51">
        <v>100000</v>
      </c>
      <c r="PY51" t="s">
        <v>510</v>
      </c>
      <c r="PZ51" t="s">
        <v>510</v>
      </c>
      <c r="QA51">
        <v>60</v>
      </c>
      <c r="QB51">
        <v>40</v>
      </c>
      <c r="QC51">
        <v>80</v>
      </c>
      <c r="QD51">
        <v>20</v>
      </c>
      <c r="QE51" t="s">
        <v>508</v>
      </c>
      <c r="QZ51">
        <v>2</v>
      </c>
      <c r="RA51">
        <v>0</v>
      </c>
      <c r="RB51" t="s">
        <v>489</v>
      </c>
      <c r="RC51" t="s">
        <v>490</v>
      </c>
      <c r="RD51" t="s">
        <v>490</v>
      </c>
      <c r="RE51" t="s">
        <v>489</v>
      </c>
      <c r="RF51" t="s">
        <v>490</v>
      </c>
      <c r="RG51" t="s">
        <v>490</v>
      </c>
      <c r="RH51" t="s">
        <v>490</v>
      </c>
      <c r="RI51" t="s">
        <v>490</v>
      </c>
      <c r="RL51" t="s">
        <v>582</v>
      </c>
    </row>
    <row r="52" spans="1:486">
      <c r="A52">
        <v>11565</v>
      </c>
      <c r="B52" t="s">
        <v>503</v>
      </c>
      <c r="C52" t="s">
        <v>972</v>
      </c>
      <c r="D52" t="s">
        <v>504</v>
      </c>
      <c r="E52" t="s">
        <v>500</v>
      </c>
      <c r="F52" t="s">
        <v>496</v>
      </c>
      <c r="G52">
        <v>22.5</v>
      </c>
      <c r="H52" t="s">
        <v>487</v>
      </c>
      <c r="I52" t="s">
        <v>487</v>
      </c>
      <c r="J52" t="s">
        <v>488</v>
      </c>
      <c r="K52" t="s">
        <v>488</v>
      </c>
      <c r="L52" t="s">
        <v>489</v>
      </c>
      <c r="M52" t="s">
        <v>489</v>
      </c>
      <c r="N52" t="s">
        <v>490</v>
      </c>
      <c r="O52" t="s">
        <v>489</v>
      </c>
      <c r="P52" t="s">
        <v>490</v>
      </c>
      <c r="Q52" t="s">
        <v>490</v>
      </c>
      <c r="R52" t="s">
        <v>490</v>
      </c>
      <c r="S52" t="s">
        <v>490</v>
      </c>
      <c r="T52" t="s">
        <v>490</v>
      </c>
      <c r="U52" t="s">
        <v>490</v>
      </c>
      <c r="V52" t="s">
        <v>489</v>
      </c>
      <c r="W52" t="s">
        <v>489</v>
      </c>
      <c r="X52" t="s">
        <v>490</v>
      </c>
      <c r="Y52" t="s">
        <v>490</v>
      </c>
      <c r="Z52" t="s">
        <v>490</v>
      </c>
      <c r="AA52" t="s">
        <v>490</v>
      </c>
      <c r="AB52" t="s">
        <v>489</v>
      </c>
      <c r="AC52" t="s">
        <v>490</v>
      </c>
      <c r="AD52" t="s">
        <v>490</v>
      </c>
      <c r="AE52" t="s">
        <v>489</v>
      </c>
      <c r="AF52" t="s">
        <v>490</v>
      </c>
      <c r="AG52" t="s">
        <v>490</v>
      </c>
      <c r="AH52" t="s">
        <v>489</v>
      </c>
      <c r="AI52" t="s">
        <v>490</v>
      </c>
      <c r="AJ52" t="s">
        <v>490</v>
      </c>
      <c r="AK52" t="s">
        <v>489</v>
      </c>
      <c r="AL52" t="s">
        <v>490</v>
      </c>
      <c r="AM52" t="s">
        <v>490</v>
      </c>
      <c r="AN52" t="s">
        <v>489</v>
      </c>
      <c r="AO52" t="s">
        <v>490</v>
      </c>
      <c r="AP52" t="s">
        <v>490</v>
      </c>
      <c r="AQ52" t="s">
        <v>489</v>
      </c>
      <c r="AR52" t="s">
        <v>490</v>
      </c>
      <c r="AS52" t="s">
        <v>490</v>
      </c>
      <c r="AT52" t="s">
        <v>489</v>
      </c>
      <c r="AU52" t="s">
        <v>490</v>
      </c>
      <c r="AV52" t="s">
        <v>490</v>
      </c>
      <c r="AW52" t="s">
        <v>489</v>
      </c>
      <c r="AX52" t="s">
        <v>489</v>
      </c>
      <c r="AY52" t="s">
        <v>489</v>
      </c>
      <c r="AZ52" t="s">
        <v>490</v>
      </c>
      <c r="BA52" t="s">
        <v>489</v>
      </c>
      <c r="BB52" t="s">
        <v>489</v>
      </c>
      <c r="BC52" t="s">
        <v>490</v>
      </c>
      <c r="BD52" t="s">
        <v>490</v>
      </c>
      <c r="BE52" t="s">
        <v>490</v>
      </c>
      <c r="BF52" t="s">
        <v>489</v>
      </c>
      <c r="BG52" t="s">
        <v>489</v>
      </c>
      <c r="BH52" t="s">
        <v>489</v>
      </c>
      <c r="BI52" t="s">
        <v>490</v>
      </c>
      <c r="BJ52" t="s">
        <v>489</v>
      </c>
      <c r="BK52" t="s">
        <v>490</v>
      </c>
      <c r="BL52" t="s">
        <v>490</v>
      </c>
      <c r="BM52" t="s">
        <v>490</v>
      </c>
      <c r="BN52" t="s">
        <v>490</v>
      </c>
      <c r="BO52" t="s">
        <v>489</v>
      </c>
      <c r="BP52" t="s">
        <v>490</v>
      </c>
      <c r="BQ52" t="s">
        <v>490</v>
      </c>
      <c r="BR52" t="s">
        <v>489</v>
      </c>
      <c r="BS52" t="s">
        <v>490</v>
      </c>
      <c r="BT52" t="s">
        <v>490</v>
      </c>
      <c r="BU52" t="s">
        <v>489</v>
      </c>
      <c r="CB52" t="s">
        <v>489</v>
      </c>
      <c r="CC52" t="s">
        <v>489</v>
      </c>
      <c r="CD52" t="s">
        <v>490</v>
      </c>
      <c r="CE52" t="s">
        <v>490</v>
      </c>
      <c r="CF52" t="s">
        <v>490</v>
      </c>
      <c r="CG52" t="s">
        <v>489</v>
      </c>
      <c r="CH52" t="s">
        <v>489</v>
      </c>
      <c r="CI52" t="s">
        <v>489</v>
      </c>
      <c r="CJ52" t="s">
        <v>490</v>
      </c>
      <c r="CK52" t="s">
        <v>489</v>
      </c>
      <c r="CL52" t="s">
        <v>490</v>
      </c>
      <c r="CM52" t="s">
        <v>490</v>
      </c>
      <c r="CN52" t="s">
        <v>490</v>
      </c>
      <c r="CO52" t="s">
        <v>490</v>
      </c>
      <c r="CP52" t="s">
        <v>489</v>
      </c>
      <c r="EY52">
        <v>80</v>
      </c>
      <c r="EZ52">
        <v>20</v>
      </c>
      <c r="FA52">
        <v>80</v>
      </c>
      <c r="FB52" t="s">
        <v>543</v>
      </c>
      <c r="OH52" s="15">
        <v>10</v>
      </c>
      <c r="OI52" s="15">
        <v>5</v>
      </c>
      <c r="OJ52" s="15">
        <v>8</v>
      </c>
      <c r="OK52" s="15">
        <v>1</v>
      </c>
      <c r="OL52" s="15">
        <v>1</v>
      </c>
      <c r="OM52" s="15">
        <v>8</v>
      </c>
      <c r="ON52" s="15">
        <v>8</v>
      </c>
      <c r="OO52" s="15">
        <v>1</v>
      </c>
      <c r="OQ52" t="s">
        <v>488</v>
      </c>
      <c r="OR52" t="s">
        <v>487</v>
      </c>
      <c r="OS52" t="s">
        <v>489</v>
      </c>
      <c r="OT52" t="s">
        <v>489</v>
      </c>
      <c r="OU52" t="s">
        <v>490</v>
      </c>
      <c r="OV52" t="s">
        <v>490</v>
      </c>
      <c r="OW52" t="s">
        <v>490</v>
      </c>
      <c r="OY52">
        <v>20</v>
      </c>
      <c r="OZ52">
        <v>20</v>
      </c>
      <c r="PA52">
        <v>20</v>
      </c>
      <c r="PB52">
        <v>0</v>
      </c>
      <c r="PC52">
        <v>0</v>
      </c>
      <c r="PD52">
        <v>0</v>
      </c>
      <c r="PE52">
        <v>10</v>
      </c>
      <c r="PF52">
        <v>0</v>
      </c>
      <c r="PG52">
        <v>0</v>
      </c>
      <c r="PH52">
        <v>0</v>
      </c>
      <c r="PI52">
        <v>40</v>
      </c>
      <c r="PJ52">
        <v>40</v>
      </c>
      <c r="PK52">
        <v>40</v>
      </c>
      <c r="PL52">
        <v>40</v>
      </c>
      <c r="PM52">
        <v>0</v>
      </c>
      <c r="PN52">
        <v>40</v>
      </c>
      <c r="PO52">
        <v>10</v>
      </c>
      <c r="PP52">
        <v>40</v>
      </c>
      <c r="PQ52">
        <v>0</v>
      </c>
      <c r="PR52">
        <v>0</v>
      </c>
      <c r="PT52" t="s">
        <v>488</v>
      </c>
      <c r="PU52" t="s">
        <v>512</v>
      </c>
      <c r="PV52">
        <v>5000</v>
      </c>
      <c r="PW52">
        <v>0</v>
      </c>
      <c r="PX52">
        <v>5000</v>
      </c>
      <c r="PY52" t="s">
        <v>493</v>
      </c>
      <c r="PZ52" t="s">
        <v>493</v>
      </c>
      <c r="QA52">
        <v>10</v>
      </c>
      <c r="QB52">
        <v>90</v>
      </c>
      <c r="QC52">
        <v>10</v>
      </c>
      <c r="QD52">
        <v>90</v>
      </c>
      <c r="QE52" t="s">
        <v>508</v>
      </c>
      <c r="QZ52">
        <v>2</v>
      </c>
      <c r="RA52">
        <v>2</v>
      </c>
      <c r="RB52" t="s">
        <v>489</v>
      </c>
      <c r="RC52" t="s">
        <v>490</v>
      </c>
      <c r="RD52" t="s">
        <v>490</v>
      </c>
      <c r="RE52" t="s">
        <v>490</v>
      </c>
      <c r="RF52" t="s">
        <v>490</v>
      </c>
      <c r="RG52" t="s">
        <v>490</v>
      </c>
      <c r="RH52" t="s">
        <v>490</v>
      </c>
      <c r="RI52" t="s">
        <v>490</v>
      </c>
      <c r="RR52" t="s">
        <v>586</v>
      </c>
    </row>
    <row r="53" spans="1:486">
      <c r="A53">
        <v>1003827</v>
      </c>
      <c r="B53" t="s">
        <v>503</v>
      </c>
      <c r="C53" t="s">
        <v>972</v>
      </c>
      <c r="D53" t="s">
        <v>504</v>
      </c>
      <c r="E53" t="s">
        <v>500</v>
      </c>
      <c r="F53" t="s">
        <v>496</v>
      </c>
      <c r="G53">
        <v>31</v>
      </c>
      <c r="H53" t="s">
        <v>487</v>
      </c>
      <c r="I53" t="s">
        <v>487</v>
      </c>
      <c r="J53" t="s">
        <v>487</v>
      </c>
      <c r="K53" t="s">
        <v>487</v>
      </c>
      <c r="L53" t="s">
        <v>490</v>
      </c>
      <c r="M53" t="s">
        <v>489</v>
      </c>
      <c r="N53" t="s">
        <v>490</v>
      </c>
      <c r="O53" t="s">
        <v>489</v>
      </c>
      <c r="P53" t="s">
        <v>490</v>
      </c>
      <c r="Q53" t="s">
        <v>490</v>
      </c>
      <c r="R53" t="s">
        <v>489</v>
      </c>
      <c r="S53" t="s">
        <v>489</v>
      </c>
      <c r="AX53" t="s">
        <v>489</v>
      </c>
      <c r="AY53" t="s">
        <v>489</v>
      </c>
      <c r="AZ53" t="s">
        <v>490</v>
      </c>
      <c r="BA53" t="s">
        <v>489</v>
      </c>
      <c r="BB53" t="s">
        <v>489</v>
      </c>
      <c r="BC53" t="s">
        <v>490</v>
      </c>
      <c r="BD53" t="s">
        <v>490</v>
      </c>
      <c r="BE53" t="s">
        <v>490</v>
      </c>
      <c r="BF53" t="s">
        <v>489</v>
      </c>
      <c r="BG53" t="s">
        <v>489</v>
      </c>
      <c r="BH53" t="s">
        <v>489</v>
      </c>
      <c r="BI53" t="s">
        <v>490</v>
      </c>
      <c r="BJ53" t="s">
        <v>489</v>
      </c>
      <c r="BK53" t="s">
        <v>489</v>
      </c>
      <c r="BL53" t="s">
        <v>490</v>
      </c>
      <c r="BM53" t="s">
        <v>490</v>
      </c>
      <c r="BN53" t="s">
        <v>490</v>
      </c>
      <c r="BO53" t="s">
        <v>489</v>
      </c>
      <c r="BP53" t="s">
        <v>490</v>
      </c>
      <c r="BQ53" t="s">
        <v>490</v>
      </c>
      <c r="BR53" t="s">
        <v>489</v>
      </c>
      <c r="BS53" t="s">
        <v>489</v>
      </c>
      <c r="BT53" t="s">
        <v>489</v>
      </c>
      <c r="BU53" t="s">
        <v>490</v>
      </c>
      <c r="CB53" t="s">
        <v>489</v>
      </c>
      <c r="CC53" t="s">
        <v>490</v>
      </c>
      <c r="CD53" t="s">
        <v>490</v>
      </c>
      <c r="CE53" t="s">
        <v>489</v>
      </c>
      <c r="CF53" t="s">
        <v>489</v>
      </c>
      <c r="CG53" t="s">
        <v>490</v>
      </c>
      <c r="CH53" t="s">
        <v>489</v>
      </c>
      <c r="CI53" t="s">
        <v>489</v>
      </c>
      <c r="CJ53" t="s">
        <v>490</v>
      </c>
      <c r="CK53" t="s">
        <v>489</v>
      </c>
      <c r="CL53" t="s">
        <v>489</v>
      </c>
      <c r="CM53" t="s">
        <v>490</v>
      </c>
      <c r="CN53" t="s">
        <v>489</v>
      </c>
      <c r="CO53" t="s">
        <v>489</v>
      </c>
      <c r="CP53" t="s">
        <v>490</v>
      </c>
      <c r="DI53" t="s">
        <v>490</v>
      </c>
      <c r="DJ53" t="s">
        <v>490</v>
      </c>
      <c r="DK53" t="s">
        <v>489</v>
      </c>
      <c r="DL53" t="s">
        <v>490</v>
      </c>
      <c r="DM53" t="s">
        <v>490</v>
      </c>
      <c r="DN53" t="s">
        <v>489</v>
      </c>
      <c r="DO53" t="s">
        <v>490</v>
      </c>
      <c r="DP53" t="s">
        <v>490</v>
      </c>
      <c r="DQ53" t="s">
        <v>489</v>
      </c>
      <c r="DR53" t="s">
        <v>489</v>
      </c>
      <c r="DS53" t="s">
        <v>489</v>
      </c>
      <c r="DT53" t="s">
        <v>490</v>
      </c>
      <c r="DU53" t="s">
        <v>489</v>
      </c>
      <c r="DV53" t="s">
        <v>489</v>
      </c>
      <c r="DW53" t="s">
        <v>490</v>
      </c>
      <c r="DX53" t="s">
        <v>490</v>
      </c>
      <c r="DY53" t="s">
        <v>490</v>
      </c>
      <c r="DZ53" t="s">
        <v>489</v>
      </c>
      <c r="EA53" t="s">
        <v>490</v>
      </c>
      <c r="EB53" t="s">
        <v>489</v>
      </c>
      <c r="EC53" t="s">
        <v>490</v>
      </c>
      <c r="ED53" t="s">
        <v>490</v>
      </c>
      <c r="EE53" t="s">
        <v>490</v>
      </c>
      <c r="EF53" t="s">
        <v>489</v>
      </c>
      <c r="EG53" t="s">
        <v>490</v>
      </c>
      <c r="EH53" t="s">
        <v>489</v>
      </c>
      <c r="EI53" t="s">
        <v>490</v>
      </c>
      <c r="EJ53" t="s">
        <v>490</v>
      </c>
      <c r="EK53" t="s">
        <v>490</v>
      </c>
      <c r="EL53" t="s">
        <v>489</v>
      </c>
      <c r="EM53" t="s">
        <v>490</v>
      </c>
      <c r="EN53" t="s">
        <v>490</v>
      </c>
      <c r="EO53" t="s">
        <v>489</v>
      </c>
      <c r="EP53" t="s">
        <v>490</v>
      </c>
      <c r="EQ53" t="s">
        <v>490</v>
      </c>
      <c r="ER53" t="s">
        <v>489</v>
      </c>
      <c r="ES53" t="s">
        <v>490</v>
      </c>
      <c r="ET53" t="s">
        <v>489</v>
      </c>
      <c r="EU53" t="s">
        <v>490</v>
      </c>
      <c r="EV53" t="s">
        <v>490</v>
      </c>
      <c r="EW53" t="s">
        <v>490</v>
      </c>
      <c r="EX53" t="s">
        <v>489</v>
      </c>
      <c r="EY53">
        <v>98</v>
      </c>
      <c r="EZ53">
        <v>85</v>
      </c>
      <c r="FA53">
        <v>15</v>
      </c>
      <c r="FB53" t="s">
        <v>491</v>
      </c>
      <c r="HK53">
        <v>2600</v>
      </c>
      <c r="HL53">
        <v>2000</v>
      </c>
      <c r="HN53">
        <v>1800</v>
      </c>
      <c r="HO53">
        <v>1000</v>
      </c>
      <c r="HS53">
        <v>2600</v>
      </c>
      <c r="HT53">
        <v>2000</v>
      </c>
      <c r="HV53">
        <v>1800</v>
      </c>
      <c r="HW53">
        <v>1000</v>
      </c>
      <c r="II53">
        <v>98</v>
      </c>
      <c r="IJ53">
        <v>2</v>
      </c>
      <c r="IK53">
        <v>0</v>
      </c>
      <c r="IL53">
        <v>98</v>
      </c>
      <c r="IM53">
        <v>2</v>
      </c>
      <c r="IN53">
        <v>0</v>
      </c>
      <c r="IR53">
        <v>98</v>
      </c>
      <c r="IS53">
        <v>2</v>
      </c>
      <c r="IT53">
        <v>0</v>
      </c>
      <c r="IU53">
        <v>98</v>
      </c>
      <c r="IV53">
        <v>2</v>
      </c>
      <c r="IW53">
        <v>0</v>
      </c>
      <c r="KE53">
        <v>600</v>
      </c>
      <c r="KF53">
        <v>200</v>
      </c>
      <c r="KG53">
        <v>3000</v>
      </c>
      <c r="KH53">
        <v>500</v>
      </c>
      <c r="KI53">
        <v>3000</v>
      </c>
      <c r="KJ53">
        <v>600</v>
      </c>
      <c r="KK53">
        <v>200</v>
      </c>
      <c r="KL53">
        <v>3000</v>
      </c>
      <c r="KM53">
        <v>500</v>
      </c>
      <c r="KN53">
        <v>3000</v>
      </c>
      <c r="KO53">
        <v>50</v>
      </c>
      <c r="KP53">
        <v>50</v>
      </c>
      <c r="KQ53">
        <v>0</v>
      </c>
      <c r="KR53">
        <v>80</v>
      </c>
      <c r="KS53">
        <v>20</v>
      </c>
      <c r="KT53">
        <v>0</v>
      </c>
      <c r="KU53">
        <v>95</v>
      </c>
      <c r="KV53">
        <v>5</v>
      </c>
      <c r="KW53">
        <v>0</v>
      </c>
      <c r="KX53">
        <v>98</v>
      </c>
      <c r="KY53">
        <v>2</v>
      </c>
      <c r="KZ53">
        <v>0</v>
      </c>
      <c r="LA53">
        <v>90</v>
      </c>
      <c r="LB53">
        <v>10</v>
      </c>
      <c r="LC53">
        <v>0</v>
      </c>
      <c r="MK53">
        <v>50</v>
      </c>
      <c r="ML53">
        <v>100</v>
      </c>
      <c r="MZ53">
        <v>5</v>
      </c>
      <c r="NB53">
        <v>20</v>
      </c>
      <c r="NG53">
        <v>2</v>
      </c>
      <c r="OH53" s="15">
        <v>7</v>
      </c>
      <c r="OI53" s="15">
        <v>7</v>
      </c>
      <c r="OJ53" s="15">
        <v>7</v>
      </c>
      <c r="OK53" s="15">
        <v>5</v>
      </c>
      <c r="OL53" s="15">
        <v>7</v>
      </c>
      <c r="OM53" s="15">
        <v>8</v>
      </c>
      <c r="ON53" s="15">
        <v>6</v>
      </c>
      <c r="OO53" s="15">
        <v>5</v>
      </c>
      <c r="OQ53" t="s">
        <v>488</v>
      </c>
      <c r="OR53" t="s">
        <v>488</v>
      </c>
      <c r="OY53">
        <v>90</v>
      </c>
      <c r="OZ53">
        <v>10</v>
      </c>
      <c r="PA53">
        <v>0</v>
      </c>
      <c r="PB53">
        <v>0</v>
      </c>
      <c r="PC53">
        <v>0</v>
      </c>
      <c r="PD53">
        <v>0</v>
      </c>
      <c r="PE53">
        <v>5</v>
      </c>
      <c r="PF53">
        <v>0</v>
      </c>
      <c r="PG53">
        <v>0</v>
      </c>
      <c r="PH53">
        <v>0</v>
      </c>
      <c r="PI53">
        <v>0</v>
      </c>
      <c r="PJ53">
        <v>40</v>
      </c>
      <c r="PK53">
        <v>0</v>
      </c>
      <c r="PL53">
        <v>0</v>
      </c>
      <c r="PM53">
        <v>0</v>
      </c>
      <c r="PN53">
        <v>0</v>
      </c>
      <c r="PO53">
        <v>0</v>
      </c>
      <c r="PP53">
        <v>0</v>
      </c>
      <c r="PQ53">
        <v>0</v>
      </c>
      <c r="PR53">
        <v>0</v>
      </c>
      <c r="PT53" t="s">
        <v>488</v>
      </c>
      <c r="PU53" t="s">
        <v>512</v>
      </c>
      <c r="PV53">
        <v>10000</v>
      </c>
      <c r="PW53">
        <v>10000</v>
      </c>
      <c r="PX53">
        <v>20000</v>
      </c>
      <c r="PY53" t="s">
        <v>493</v>
      </c>
      <c r="PZ53" t="s">
        <v>493</v>
      </c>
      <c r="QA53">
        <v>30</v>
      </c>
      <c r="QB53">
        <v>70</v>
      </c>
      <c r="QC53">
        <v>70</v>
      </c>
      <c r="QD53">
        <v>30</v>
      </c>
      <c r="QE53" t="s">
        <v>508</v>
      </c>
      <c r="QZ53">
        <v>2</v>
      </c>
      <c r="RA53">
        <v>0</v>
      </c>
      <c r="RB53" t="s">
        <v>489</v>
      </c>
      <c r="RC53" t="s">
        <v>490</v>
      </c>
      <c r="RD53" t="s">
        <v>489</v>
      </c>
      <c r="RE53" t="s">
        <v>490</v>
      </c>
      <c r="RF53" t="s">
        <v>490</v>
      </c>
      <c r="RG53" t="s">
        <v>490</v>
      </c>
      <c r="RH53" t="s">
        <v>490</v>
      </c>
      <c r="RI53" t="s">
        <v>490</v>
      </c>
    </row>
    <row r="54" spans="1:486">
      <c r="A54">
        <v>12130</v>
      </c>
      <c r="B54" t="s">
        <v>503</v>
      </c>
      <c r="C54" t="s">
        <v>972</v>
      </c>
      <c r="D54" t="s">
        <v>504</v>
      </c>
      <c r="E54" t="s">
        <v>500</v>
      </c>
      <c r="F54" t="s">
        <v>505</v>
      </c>
      <c r="G54">
        <v>2.2000000000000002</v>
      </c>
      <c r="H54" t="s">
        <v>487</v>
      </c>
      <c r="I54" t="s">
        <v>487</v>
      </c>
      <c r="J54" t="s">
        <v>487</v>
      </c>
      <c r="K54" t="s">
        <v>487</v>
      </c>
      <c r="L54" t="s">
        <v>489</v>
      </c>
      <c r="M54" t="s">
        <v>489</v>
      </c>
      <c r="N54" t="s">
        <v>490</v>
      </c>
      <c r="O54" t="s">
        <v>489</v>
      </c>
      <c r="P54" t="s">
        <v>490</v>
      </c>
      <c r="Q54" t="s">
        <v>489</v>
      </c>
      <c r="R54" t="s">
        <v>489</v>
      </c>
      <c r="S54" t="s">
        <v>490</v>
      </c>
      <c r="T54" t="s">
        <v>489</v>
      </c>
      <c r="U54" t="s">
        <v>489</v>
      </c>
      <c r="V54" t="s">
        <v>490</v>
      </c>
      <c r="W54" t="s">
        <v>489</v>
      </c>
      <c r="X54" t="s">
        <v>489</v>
      </c>
      <c r="Y54" t="s">
        <v>490</v>
      </c>
      <c r="Z54" t="s">
        <v>490</v>
      </c>
      <c r="AA54" t="s">
        <v>489</v>
      </c>
      <c r="AB54" t="s">
        <v>490</v>
      </c>
      <c r="AC54" t="s">
        <v>490</v>
      </c>
      <c r="AD54" t="s">
        <v>490</v>
      </c>
      <c r="AE54" t="s">
        <v>489</v>
      </c>
      <c r="AF54" t="s">
        <v>490</v>
      </c>
      <c r="AG54" t="s">
        <v>490</v>
      </c>
      <c r="AH54" t="s">
        <v>489</v>
      </c>
      <c r="AI54" t="s">
        <v>490</v>
      </c>
      <c r="AJ54" t="s">
        <v>490</v>
      </c>
      <c r="AK54" t="s">
        <v>489</v>
      </c>
      <c r="AL54" t="s">
        <v>490</v>
      </c>
      <c r="AM54" t="s">
        <v>490</v>
      </c>
      <c r="AN54" t="s">
        <v>489</v>
      </c>
      <c r="AO54" t="s">
        <v>489</v>
      </c>
      <c r="AP54" t="s">
        <v>490</v>
      </c>
      <c r="AQ54" t="s">
        <v>490</v>
      </c>
      <c r="AR54" t="s">
        <v>490</v>
      </c>
      <c r="AS54" t="s">
        <v>490</v>
      </c>
      <c r="AT54" t="s">
        <v>489</v>
      </c>
      <c r="AU54" t="s">
        <v>489</v>
      </c>
      <c r="AV54" t="s">
        <v>489</v>
      </c>
      <c r="AW54" t="s">
        <v>490</v>
      </c>
      <c r="AX54" t="s">
        <v>489</v>
      </c>
      <c r="AY54" t="s">
        <v>489</v>
      </c>
      <c r="AZ54" t="s">
        <v>490</v>
      </c>
      <c r="BA54" t="s">
        <v>489</v>
      </c>
      <c r="BB54" t="s">
        <v>489</v>
      </c>
      <c r="BC54" t="s">
        <v>490</v>
      </c>
      <c r="BD54" t="s">
        <v>489</v>
      </c>
      <c r="BE54" t="s">
        <v>489</v>
      </c>
      <c r="BF54" t="s">
        <v>490</v>
      </c>
      <c r="BG54" t="s">
        <v>489</v>
      </c>
      <c r="BH54" t="s">
        <v>489</v>
      </c>
      <c r="BI54" t="s">
        <v>490</v>
      </c>
      <c r="BJ54" t="s">
        <v>489</v>
      </c>
      <c r="BK54" t="s">
        <v>489</v>
      </c>
      <c r="BL54" t="s">
        <v>490</v>
      </c>
      <c r="BM54" t="s">
        <v>489</v>
      </c>
      <c r="BN54" t="s">
        <v>489</v>
      </c>
      <c r="BO54" t="s">
        <v>490</v>
      </c>
      <c r="BP54" t="s">
        <v>489</v>
      </c>
      <c r="BQ54" t="s">
        <v>489</v>
      </c>
      <c r="BR54" t="s">
        <v>490</v>
      </c>
      <c r="BS54" t="s">
        <v>489</v>
      </c>
      <c r="BT54" t="s">
        <v>489</v>
      </c>
      <c r="BU54" t="s">
        <v>490</v>
      </c>
      <c r="CB54" t="s">
        <v>489</v>
      </c>
      <c r="CC54" t="s">
        <v>489</v>
      </c>
      <c r="CD54" t="s">
        <v>490</v>
      </c>
      <c r="CE54" t="s">
        <v>490</v>
      </c>
      <c r="CF54" t="s">
        <v>490</v>
      </c>
      <c r="CG54" t="s">
        <v>489</v>
      </c>
      <c r="CH54" t="s">
        <v>490</v>
      </c>
      <c r="CI54" t="s">
        <v>490</v>
      </c>
      <c r="CJ54" t="s">
        <v>489</v>
      </c>
      <c r="CK54" t="s">
        <v>490</v>
      </c>
      <c r="CL54" t="s">
        <v>490</v>
      </c>
      <c r="CM54" t="s">
        <v>489</v>
      </c>
      <c r="CN54" t="s">
        <v>489</v>
      </c>
      <c r="CO54" t="s">
        <v>489</v>
      </c>
      <c r="CP54" t="s">
        <v>490</v>
      </c>
      <c r="CW54" t="s">
        <v>489</v>
      </c>
      <c r="CX54" t="s">
        <v>489</v>
      </c>
      <c r="CY54" t="s">
        <v>490</v>
      </c>
      <c r="CZ54" t="s">
        <v>489</v>
      </c>
      <c r="DA54" t="s">
        <v>489</v>
      </c>
      <c r="DB54" t="s">
        <v>490</v>
      </c>
      <c r="DC54" t="s">
        <v>490</v>
      </c>
      <c r="DD54" t="s">
        <v>490</v>
      </c>
      <c r="DE54" t="s">
        <v>489</v>
      </c>
      <c r="DF54" t="s">
        <v>489</v>
      </c>
      <c r="DG54" t="s">
        <v>489</v>
      </c>
      <c r="DH54" t="s">
        <v>490</v>
      </c>
      <c r="DI54" t="s">
        <v>489</v>
      </c>
      <c r="DJ54" t="s">
        <v>489</v>
      </c>
      <c r="DK54" t="s">
        <v>490</v>
      </c>
      <c r="DL54" t="s">
        <v>490</v>
      </c>
      <c r="DM54" t="s">
        <v>490</v>
      </c>
      <c r="DN54" t="s">
        <v>489</v>
      </c>
      <c r="DO54" t="s">
        <v>490</v>
      </c>
      <c r="DP54" t="s">
        <v>490</v>
      </c>
      <c r="DQ54" t="s">
        <v>489</v>
      </c>
      <c r="DR54" t="s">
        <v>489</v>
      </c>
      <c r="DS54" t="s">
        <v>489</v>
      </c>
      <c r="DT54" t="s">
        <v>490</v>
      </c>
      <c r="DU54" t="s">
        <v>489</v>
      </c>
      <c r="DV54" t="s">
        <v>489</v>
      </c>
      <c r="DW54" t="s">
        <v>490</v>
      </c>
      <c r="DX54" t="s">
        <v>490</v>
      </c>
      <c r="DY54" t="s">
        <v>490</v>
      </c>
      <c r="DZ54" t="s">
        <v>489</v>
      </c>
      <c r="EY54">
        <v>80</v>
      </c>
      <c r="EZ54">
        <v>39</v>
      </c>
      <c r="FA54">
        <v>10</v>
      </c>
      <c r="FB54" t="s">
        <v>491</v>
      </c>
      <c r="FC54">
        <v>13</v>
      </c>
      <c r="FD54">
        <v>13</v>
      </c>
      <c r="FE54">
        <v>3500</v>
      </c>
      <c r="FF54">
        <v>3495</v>
      </c>
      <c r="FG54">
        <v>7</v>
      </c>
      <c r="FH54">
        <v>4</v>
      </c>
      <c r="FQ54">
        <v>0</v>
      </c>
      <c r="FR54">
        <v>0</v>
      </c>
      <c r="FU54">
        <v>1598</v>
      </c>
      <c r="FV54">
        <v>1550</v>
      </c>
      <c r="FY54">
        <v>7</v>
      </c>
      <c r="GD54">
        <v>0</v>
      </c>
      <c r="GF54">
        <v>40</v>
      </c>
      <c r="GG54">
        <v>15</v>
      </c>
      <c r="GH54">
        <v>85</v>
      </c>
      <c r="GI54">
        <v>0</v>
      </c>
      <c r="GJ54">
        <v>10</v>
      </c>
      <c r="GK54">
        <v>5</v>
      </c>
      <c r="GL54">
        <v>0</v>
      </c>
      <c r="GM54">
        <v>100</v>
      </c>
      <c r="GN54">
        <v>0</v>
      </c>
      <c r="GO54">
        <v>0</v>
      </c>
      <c r="HH54">
        <v>2</v>
      </c>
      <c r="HI54">
        <v>93</v>
      </c>
      <c r="HJ54">
        <v>5</v>
      </c>
      <c r="HK54">
        <v>304</v>
      </c>
      <c r="HL54">
        <v>241</v>
      </c>
      <c r="HM54">
        <v>1</v>
      </c>
      <c r="HN54">
        <v>1445</v>
      </c>
      <c r="HO54">
        <v>35</v>
      </c>
      <c r="HP54">
        <v>28</v>
      </c>
      <c r="HQ54">
        <v>1</v>
      </c>
      <c r="HR54">
        <v>0</v>
      </c>
      <c r="HS54">
        <v>304</v>
      </c>
      <c r="HT54">
        <v>241</v>
      </c>
      <c r="HU54">
        <v>1</v>
      </c>
      <c r="HV54">
        <v>1445</v>
      </c>
      <c r="HW54">
        <v>35</v>
      </c>
      <c r="HX54">
        <v>25</v>
      </c>
      <c r="HY54">
        <v>3</v>
      </c>
      <c r="HZ54">
        <v>0</v>
      </c>
      <c r="IA54">
        <v>304</v>
      </c>
      <c r="IC54">
        <v>0</v>
      </c>
      <c r="ID54">
        <v>0</v>
      </c>
      <c r="IE54">
        <v>8</v>
      </c>
      <c r="IF54">
        <v>5</v>
      </c>
      <c r="IG54">
        <v>0</v>
      </c>
      <c r="IH54">
        <v>0</v>
      </c>
      <c r="II54">
        <v>100</v>
      </c>
      <c r="IJ54">
        <v>0</v>
      </c>
      <c r="IK54">
        <v>0</v>
      </c>
      <c r="IL54">
        <v>100</v>
      </c>
      <c r="IM54">
        <v>0</v>
      </c>
      <c r="IN54">
        <v>0</v>
      </c>
      <c r="IO54">
        <v>100</v>
      </c>
      <c r="IP54">
        <v>0</v>
      </c>
      <c r="IQ54">
        <v>0</v>
      </c>
      <c r="IR54">
        <v>100</v>
      </c>
      <c r="IS54">
        <v>0</v>
      </c>
      <c r="IT54">
        <v>0</v>
      </c>
      <c r="IU54">
        <v>100</v>
      </c>
      <c r="IV54">
        <v>0</v>
      </c>
      <c r="IW54">
        <v>0</v>
      </c>
      <c r="IX54">
        <v>100</v>
      </c>
      <c r="IY54">
        <v>0</v>
      </c>
      <c r="IZ54">
        <v>0</v>
      </c>
      <c r="JA54">
        <v>100</v>
      </c>
      <c r="JB54">
        <v>0</v>
      </c>
      <c r="JC54">
        <v>0</v>
      </c>
      <c r="KE54">
        <v>146</v>
      </c>
      <c r="KI54">
        <v>1</v>
      </c>
      <c r="KJ54">
        <v>146</v>
      </c>
      <c r="KN54">
        <v>6</v>
      </c>
      <c r="KO54">
        <v>100</v>
      </c>
      <c r="KP54">
        <v>100</v>
      </c>
      <c r="KQ54">
        <v>0</v>
      </c>
      <c r="LA54">
        <v>0</v>
      </c>
      <c r="LB54">
        <v>100</v>
      </c>
      <c r="LC54">
        <v>0</v>
      </c>
      <c r="LN54">
        <v>8</v>
      </c>
      <c r="LO54">
        <v>0</v>
      </c>
      <c r="LQ54">
        <v>0</v>
      </c>
      <c r="LR54">
        <v>100</v>
      </c>
      <c r="LS54">
        <v>0</v>
      </c>
      <c r="LT54">
        <v>0</v>
      </c>
      <c r="LU54">
        <v>100</v>
      </c>
      <c r="LV54">
        <v>0</v>
      </c>
      <c r="LW54">
        <v>0</v>
      </c>
      <c r="MA54">
        <v>100</v>
      </c>
      <c r="MB54">
        <v>0</v>
      </c>
      <c r="MC54">
        <v>0</v>
      </c>
      <c r="MD54">
        <v>350</v>
      </c>
      <c r="ME54">
        <v>5</v>
      </c>
      <c r="MG54">
        <v>5</v>
      </c>
      <c r="MH54">
        <v>14</v>
      </c>
      <c r="MK54">
        <v>42</v>
      </c>
      <c r="ML54">
        <v>0</v>
      </c>
      <c r="MN54">
        <v>6</v>
      </c>
      <c r="MQ54">
        <v>25</v>
      </c>
      <c r="MR54">
        <v>0</v>
      </c>
      <c r="MT54">
        <v>0</v>
      </c>
      <c r="MW54">
        <v>1</v>
      </c>
      <c r="MX54">
        <v>0</v>
      </c>
      <c r="NP54">
        <v>100</v>
      </c>
      <c r="NQ54">
        <v>0</v>
      </c>
      <c r="NR54">
        <v>0</v>
      </c>
      <c r="NY54">
        <v>100</v>
      </c>
      <c r="NZ54">
        <v>0</v>
      </c>
      <c r="OA54">
        <v>0</v>
      </c>
      <c r="OH54" s="15">
        <v>7</v>
      </c>
      <c r="OI54" s="15">
        <v>7</v>
      </c>
      <c r="OJ54" s="15">
        <v>7</v>
      </c>
      <c r="OK54" s="15">
        <v>3</v>
      </c>
      <c r="OL54" s="15">
        <v>9</v>
      </c>
      <c r="OM54" s="15">
        <v>9</v>
      </c>
      <c r="ON54" s="15">
        <v>4</v>
      </c>
      <c r="OO54" s="15">
        <v>1</v>
      </c>
      <c r="OQ54" t="s">
        <v>487</v>
      </c>
      <c r="OR54" t="s">
        <v>488</v>
      </c>
      <c r="OY54">
        <v>39</v>
      </c>
      <c r="OZ54">
        <v>39</v>
      </c>
      <c r="PA54">
        <v>5</v>
      </c>
      <c r="PB54">
        <v>0</v>
      </c>
      <c r="PC54">
        <v>0</v>
      </c>
      <c r="PD54">
        <v>0</v>
      </c>
      <c r="PE54">
        <v>3</v>
      </c>
      <c r="PF54">
        <v>0</v>
      </c>
      <c r="PG54">
        <v>0</v>
      </c>
      <c r="PH54">
        <v>0</v>
      </c>
      <c r="PI54">
        <v>50</v>
      </c>
      <c r="PJ54">
        <v>45</v>
      </c>
      <c r="PK54">
        <v>40</v>
      </c>
      <c r="PL54">
        <v>45</v>
      </c>
      <c r="PM54">
        <v>0</v>
      </c>
      <c r="PN54">
        <v>0</v>
      </c>
      <c r="PO54">
        <v>6</v>
      </c>
      <c r="PP54">
        <v>0</v>
      </c>
      <c r="PQ54">
        <v>40</v>
      </c>
      <c r="PR54">
        <v>0</v>
      </c>
      <c r="PT54" t="s">
        <v>487</v>
      </c>
      <c r="PU54" t="s">
        <v>497</v>
      </c>
      <c r="PV54">
        <v>20000</v>
      </c>
      <c r="PW54">
        <v>0</v>
      </c>
      <c r="PX54">
        <v>20000</v>
      </c>
      <c r="PY54" t="s">
        <v>493</v>
      </c>
      <c r="PZ54" t="s">
        <v>493</v>
      </c>
      <c r="QA54">
        <v>35</v>
      </c>
      <c r="QB54">
        <v>65</v>
      </c>
      <c r="QC54">
        <v>50</v>
      </c>
      <c r="QD54">
        <v>50</v>
      </c>
      <c r="QE54" t="s">
        <v>508</v>
      </c>
      <c r="QZ54">
        <v>0.8</v>
      </c>
      <c r="RA54">
        <v>0.6</v>
      </c>
      <c r="RB54" t="s">
        <v>489</v>
      </c>
      <c r="RC54" t="s">
        <v>490</v>
      </c>
      <c r="RD54" t="s">
        <v>490</v>
      </c>
      <c r="RE54" t="s">
        <v>489</v>
      </c>
      <c r="RF54" t="s">
        <v>489</v>
      </c>
      <c r="RG54" t="s">
        <v>489</v>
      </c>
      <c r="RH54" t="s">
        <v>490</v>
      </c>
      <c r="RI54" t="s">
        <v>490</v>
      </c>
    </row>
    <row r="55" spans="1:486">
      <c r="A55">
        <v>12175</v>
      </c>
      <c r="B55" t="s">
        <v>503</v>
      </c>
      <c r="C55" t="s">
        <v>972</v>
      </c>
      <c r="D55" t="s">
        <v>504</v>
      </c>
      <c r="E55" t="s">
        <v>500</v>
      </c>
      <c r="F55" t="s">
        <v>516</v>
      </c>
      <c r="G55">
        <v>97</v>
      </c>
      <c r="H55" t="s">
        <v>487</v>
      </c>
      <c r="I55" t="s">
        <v>487</v>
      </c>
      <c r="J55" t="s">
        <v>487</v>
      </c>
      <c r="K55" t="s">
        <v>488</v>
      </c>
      <c r="L55" t="s">
        <v>489</v>
      </c>
      <c r="M55" t="s">
        <v>489</v>
      </c>
      <c r="N55" t="s">
        <v>490</v>
      </c>
      <c r="O55" t="s">
        <v>489</v>
      </c>
      <c r="P55" t="s">
        <v>490</v>
      </c>
      <c r="Q55" t="s">
        <v>490</v>
      </c>
      <c r="R55" t="s">
        <v>490</v>
      </c>
      <c r="S55" t="s">
        <v>489</v>
      </c>
      <c r="T55" t="s">
        <v>489</v>
      </c>
      <c r="U55" t="s">
        <v>490</v>
      </c>
      <c r="V55" t="s">
        <v>490</v>
      </c>
      <c r="W55" t="s">
        <v>490</v>
      </c>
      <c r="X55" t="s">
        <v>490</v>
      </c>
      <c r="Y55" t="s">
        <v>489</v>
      </c>
      <c r="Z55" t="s">
        <v>490</v>
      </c>
      <c r="AA55" t="s">
        <v>490</v>
      </c>
      <c r="AB55" t="s">
        <v>489</v>
      </c>
      <c r="AC55" t="s">
        <v>490</v>
      </c>
      <c r="AD55" t="s">
        <v>490</v>
      </c>
      <c r="AE55" t="s">
        <v>489</v>
      </c>
      <c r="AF55" t="s">
        <v>490</v>
      </c>
      <c r="AG55" t="s">
        <v>490</v>
      </c>
      <c r="AH55" t="s">
        <v>489</v>
      </c>
      <c r="AI55" t="s">
        <v>490</v>
      </c>
      <c r="AJ55" t="s">
        <v>490</v>
      </c>
      <c r="AK55" t="s">
        <v>489</v>
      </c>
      <c r="AL55" t="s">
        <v>490</v>
      </c>
      <c r="AM55" t="s">
        <v>490</v>
      </c>
      <c r="AN55" t="s">
        <v>489</v>
      </c>
      <c r="AO55" t="s">
        <v>490</v>
      </c>
      <c r="AP55" t="s">
        <v>490</v>
      </c>
      <c r="AQ55" t="s">
        <v>489</v>
      </c>
      <c r="AR55" t="s">
        <v>490</v>
      </c>
      <c r="AS55" t="s">
        <v>490</v>
      </c>
      <c r="AT55" t="s">
        <v>489</v>
      </c>
      <c r="AU55" t="s">
        <v>490</v>
      </c>
      <c r="AV55" t="s">
        <v>490</v>
      </c>
      <c r="AW55" t="s">
        <v>489</v>
      </c>
      <c r="AX55" t="s">
        <v>489</v>
      </c>
      <c r="AY55" t="s">
        <v>489</v>
      </c>
      <c r="AZ55" t="s">
        <v>490</v>
      </c>
      <c r="BA55" t="s">
        <v>489</v>
      </c>
      <c r="BB55" t="s">
        <v>489</v>
      </c>
      <c r="BC55" t="s">
        <v>490</v>
      </c>
      <c r="BD55" t="s">
        <v>490</v>
      </c>
      <c r="BE55" t="s">
        <v>490</v>
      </c>
      <c r="BF55" t="s">
        <v>489</v>
      </c>
      <c r="BG55" t="s">
        <v>489</v>
      </c>
      <c r="BH55" t="s">
        <v>489</v>
      </c>
      <c r="BI55" t="s">
        <v>490</v>
      </c>
      <c r="BJ55" t="s">
        <v>489</v>
      </c>
      <c r="BK55" t="s">
        <v>489</v>
      </c>
      <c r="BL55" t="s">
        <v>490</v>
      </c>
      <c r="BM55" t="s">
        <v>489</v>
      </c>
      <c r="BN55" t="s">
        <v>489</v>
      </c>
      <c r="BO55" t="s">
        <v>490</v>
      </c>
      <c r="BP55" t="s">
        <v>490</v>
      </c>
      <c r="BQ55" t="s">
        <v>490</v>
      </c>
      <c r="BR55" t="s">
        <v>489</v>
      </c>
      <c r="BS55" t="s">
        <v>490</v>
      </c>
      <c r="BT55" t="s">
        <v>490</v>
      </c>
      <c r="BU55" t="s">
        <v>489</v>
      </c>
      <c r="CB55" t="s">
        <v>489</v>
      </c>
      <c r="CC55" t="s">
        <v>489</v>
      </c>
      <c r="CD55" t="s">
        <v>490</v>
      </c>
      <c r="CE55" t="s">
        <v>490</v>
      </c>
      <c r="CF55" t="s">
        <v>490</v>
      </c>
      <c r="CG55" t="s">
        <v>489</v>
      </c>
      <c r="CH55" t="s">
        <v>489</v>
      </c>
      <c r="CI55" t="s">
        <v>489</v>
      </c>
      <c r="CJ55" t="s">
        <v>490</v>
      </c>
      <c r="CK55" t="s">
        <v>490</v>
      </c>
      <c r="CL55" t="s">
        <v>490</v>
      </c>
      <c r="CM55" t="s">
        <v>489</v>
      </c>
      <c r="CN55" t="s">
        <v>490</v>
      </c>
      <c r="CO55" t="s">
        <v>490</v>
      </c>
      <c r="CP55" t="s">
        <v>489</v>
      </c>
      <c r="EA55" t="s">
        <v>490</v>
      </c>
      <c r="EB55" t="s">
        <v>489</v>
      </c>
      <c r="EC55" t="s">
        <v>490</v>
      </c>
      <c r="ED55" t="s">
        <v>490</v>
      </c>
      <c r="EE55" t="s">
        <v>490</v>
      </c>
      <c r="EF55" t="s">
        <v>489</v>
      </c>
      <c r="EG55" t="s">
        <v>490</v>
      </c>
      <c r="EH55" t="s">
        <v>490</v>
      </c>
      <c r="EI55" t="s">
        <v>489</v>
      </c>
      <c r="EJ55" t="s">
        <v>490</v>
      </c>
      <c r="EK55" t="s">
        <v>490</v>
      </c>
      <c r="EL55" t="s">
        <v>489</v>
      </c>
      <c r="EM55" t="s">
        <v>490</v>
      </c>
      <c r="EN55" t="s">
        <v>490</v>
      </c>
      <c r="EO55" t="s">
        <v>489</v>
      </c>
      <c r="EP55" t="s">
        <v>490</v>
      </c>
      <c r="EQ55" t="s">
        <v>490</v>
      </c>
      <c r="ER55" t="s">
        <v>489</v>
      </c>
      <c r="ES55" t="s">
        <v>490</v>
      </c>
      <c r="ET55" t="s">
        <v>489</v>
      </c>
      <c r="EU55" t="s">
        <v>490</v>
      </c>
      <c r="EV55" t="s">
        <v>490</v>
      </c>
      <c r="EW55" t="s">
        <v>490</v>
      </c>
      <c r="EX55" t="s">
        <v>489</v>
      </c>
      <c r="EY55">
        <v>90</v>
      </c>
      <c r="EZ55">
        <v>90</v>
      </c>
      <c r="FA55">
        <v>10</v>
      </c>
      <c r="FB55" t="s">
        <v>491</v>
      </c>
      <c r="FC55">
        <v>3000</v>
      </c>
      <c r="FD55">
        <v>3000</v>
      </c>
      <c r="GG55">
        <v>20</v>
      </c>
      <c r="GH55">
        <v>80</v>
      </c>
      <c r="GI55">
        <v>0</v>
      </c>
      <c r="HK55">
        <v>15000</v>
      </c>
      <c r="HL55">
        <v>35000</v>
      </c>
      <c r="HN55">
        <v>4000</v>
      </c>
      <c r="HO55">
        <v>2000</v>
      </c>
      <c r="HP55">
        <v>800</v>
      </c>
      <c r="HS55">
        <v>15000</v>
      </c>
      <c r="HT55">
        <v>35000</v>
      </c>
      <c r="HV55">
        <v>4000</v>
      </c>
      <c r="HW55">
        <v>2000</v>
      </c>
      <c r="HX55">
        <v>800</v>
      </c>
      <c r="IA55">
        <v>0</v>
      </c>
      <c r="ID55">
        <v>0</v>
      </c>
      <c r="IE55">
        <v>0</v>
      </c>
      <c r="IF55">
        <v>0</v>
      </c>
      <c r="II55">
        <v>100</v>
      </c>
      <c r="IJ55">
        <v>0</v>
      </c>
      <c r="IK55">
        <v>0</v>
      </c>
      <c r="IL55">
        <v>75</v>
      </c>
      <c r="IM55">
        <v>25</v>
      </c>
      <c r="IN55">
        <v>0</v>
      </c>
      <c r="IR55">
        <v>100</v>
      </c>
      <c r="IS55">
        <v>0</v>
      </c>
      <c r="IT55">
        <v>0</v>
      </c>
      <c r="IU55">
        <v>100</v>
      </c>
      <c r="IV55">
        <v>0</v>
      </c>
      <c r="IW55">
        <v>0</v>
      </c>
      <c r="IX55">
        <v>100</v>
      </c>
      <c r="IY55">
        <v>0</v>
      </c>
      <c r="IZ55">
        <v>0</v>
      </c>
      <c r="KE55">
        <v>1500</v>
      </c>
      <c r="KG55">
        <v>56000</v>
      </c>
      <c r="KJ55">
        <v>1500</v>
      </c>
      <c r="KL55">
        <v>56000</v>
      </c>
      <c r="KO55">
        <v>90</v>
      </c>
      <c r="KP55">
        <v>10</v>
      </c>
      <c r="KQ55">
        <v>0</v>
      </c>
      <c r="KU55">
        <v>75</v>
      </c>
      <c r="KV55">
        <v>25</v>
      </c>
      <c r="KW55">
        <v>0</v>
      </c>
      <c r="OH55" s="15">
        <v>7</v>
      </c>
      <c r="OI55" s="15">
        <v>7</v>
      </c>
      <c r="OJ55" s="15">
        <v>7</v>
      </c>
      <c r="OK55" s="15">
        <v>1</v>
      </c>
      <c r="OL55" s="15">
        <v>9</v>
      </c>
      <c r="OM55" s="15">
        <v>8</v>
      </c>
      <c r="ON55" s="15">
        <v>3</v>
      </c>
      <c r="OO55" s="15">
        <v>1</v>
      </c>
      <c r="OQ55" t="s">
        <v>488</v>
      </c>
      <c r="OR55" t="s">
        <v>488</v>
      </c>
      <c r="OY55">
        <v>100</v>
      </c>
      <c r="OZ55">
        <v>10</v>
      </c>
      <c r="PA55">
        <v>10</v>
      </c>
      <c r="PB55">
        <v>10</v>
      </c>
      <c r="PC55">
        <v>0</v>
      </c>
      <c r="PD55">
        <v>0</v>
      </c>
      <c r="PE55">
        <v>0</v>
      </c>
      <c r="PF55">
        <v>100</v>
      </c>
      <c r="PG55">
        <v>0</v>
      </c>
      <c r="PH55">
        <v>0</v>
      </c>
      <c r="PI55">
        <v>100</v>
      </c>
      <c r="PJ55">
        <v>100</v>
      </c>
      <c r="PK55">
        <v>10</v>
      </c>
      <c r="PL55">
        <v>10</v>
      </c>
      <c r="PM55">
        <v>0</v>
      </c>
      <c r="PN55">
        <v>0</v>
      </c>
      <c r="PO55">
        <v>0</v>
      </c>
      <c r="PP55">
        <v>100</v>
      </c>
      <c r="PQ55">
        <v>0</v>
      </c>
      <c r="PR55">
        <v>0</v>
      </c>
      <c r="PT55" t="s">
        <v>488</v>
      </c>
      <c r="PU55" t="s">
        <v>497</v>
      </c>
      <c r="PV55">
        <v>170000</v>
      </c>
      <c r="PW55">
        <v>11000</v>
      </c>
      <c r="PX55">
        <v>181000</v>
      </c>
      <c r="PY55" t="s">
        <v>493</v>
      </c>
      <c r="PZ55" t="s">
        <v>493</v>
      </c>
      <c r="QA55">
        <v>75</v>
      </c>
      <c r="QB55">
        <v>25</v>
      </c>
      <c r="QC55">
        <v>80</v>
      </c>
      <c r="QD55">
        <v>20</v>
      </c>
      <c r="QE55" t="s">
        <v>508</v>
      </c>
      <c r="QZ55">
        <v>6</v>
      </c>
      <c r="RA55">
        <v>0</v>
      </c>
      <c r="RB55" t="s">
        <v>489</v>
      </c>
      <c r="RC55" t="s">
        <v>490</v>
      </c>
      <c r="RD55" t="s">
        <v>489</v>
      </c>
      <c r="RE55" t="s">
        <v>489</v>
      </c>
      <c r="RF55" t="s">
        <v>490</v>
      </c>
      <c r="RG55" t="s">
        <v>490</v>
      </c>
      <c r="RH55" t="s">
        <v>490</v>
      </c>
      <c r="RI55" t="s">
        <v>490</v>
      </c>
      <c r="RR55" t="s">
        <v>599</v>
      </c>
    </row>
    <row r="56" spans="1:486">
      <c r="A56">
        <v>1004111</v>
      </c>
      <c r="B56" t="s">
        <v>503</v>
      </c>
      <c r="C56" t="s">
        <v>972</v>
      </c>
      <c r="D56" t="s">
        <v>504</v>
      </c>
      <c r="E56" t="s">
        <v>500</v>
      </c>
      <c r="F56" t="s">
        <v>545</v>
      </c>
      <c r="G56">
        <v>0.72</v>
      </c>
      <c r="H56" t="s">
        <v>487</v>
      </c>
      <c r="I56" t="s">
        <v>488</v>
      </c>
      <c r="J56" t="s">
        <v>487</v>
      </c>
      <c r="K56" t="s">
        <v>488</v>
      </c>
      <c r="L56" t="s">
        <v>490</v>
      </c>
      <c r="M56" t="s">
        <v>489</v>
      </c>
      <c r="N56" t="s">
        <v>490</v>
      </c>
      <c r="O56" t="s">
        <v>490</v>
      </c>
      <c r="P56" t="s">
        <v>490</v>
      </c>
      <c r="Q56" t="s">
        <v>490</v>
      </c>
      <c r="R56" t="s">
        <v>490</v>
      </c>
      <c r="S56" t="s">
        <v>490</v>
      </c>
      <c r="AX56" t="s">
        <v>490</v>
      </c>
      <c r="AY56" t="s">
        <v>490</v>
      </c>
      <c r="AZ56" t="s">
        <v>489</v>
      </c>
      <c r="BA56" t="s">
        <v>490</v>
      </c>
      <c r="BB56" t="s">
        <v>490</v>
      </c>
      <c r="BC56" t="s">
        <v>489</v>
      </c>
      <c r="BD56" t="s">
        <v>490</v>
      </c>
      <c r="BE56" t="s">
        <v>490</v>
      </c>
      <c r="BF56" t="s">
        <v>489</v>
      </c>
      <c r="BG56" t="s">
        <v>489</v>
      </c>
      <c r="BH56" t="s">
        <v>490</v>
      </c>
      <c r="BI56" t="s">
        <v>490</v>
      </c>
      <c r="BJ56" t="s">
        <v>490</v>
      </c>
      <c r="BK56" t="s">
        <v>490</v>
      </c>
      <c r="BL56" t="s">
        <v>489</v>
      </c>
      <c r="BM56" t="s">
        <v>490</v>
      </c>
      <c r="BN56" t="s">
        <v>490</v>
      </c>
      <c r="BO56" t="s">
        <v>489</v>
      </c>
      <c r="BP56" t="s">
        <v>490</v>
      </c>
      <c r="BQ56" t="s">
        <v>490</v>
      </c>
      <c r="BR56" t="s">
        <v>489</v>
      </c>
      <c r="BS56" t="s">
        <v>490</v>
      </c>
      <c r="BT56" t="s">
        <v>490</v>
      </c>
      <c r="BU56" t="s">
        <v>489</v>
      </c>
      <c r="EY56">
        <v>99</v>
      </c>
      <c r="EZ56">
        <v>78</v>
      </c>
      <c r="FA56">
        <v>22</v>
      </c>
      <c r="FB56" t="s">
        <v>491</v>
      </c>
      <c r="HN56">
        <v>292</v>
      </c>
      <c r="HV56">
        <v>227</v>
      </c>
      <c r="ID56">
        <v>0</v>
      </c>
      <c r="IR56">
        <v>78</v>
      </c>
      <c r="IS56">
        <v>22</v>
      </c>
      <c r="IT56">
        <v>0</v>
      </c>
      <c r="OH56" s="15">
        <v>0</v>
      </c>
      <c r="OI56" s="15">
        <v>0</v>
      </c>
      <c r="OJ56" s="15">
        <v>0</v>
      </c>
      <c r="OK56" s="15">
        <v>0</v>
      </c>
      <c r="OL56" s="15">
        <v>0</v>
      </c>
      <c r="OM56" s="15">
        <v>0</v>
      </c>
      <c r="ON56" s="15">
        <v>0</v>
      </c>
      <c r="OO56" s="15">
        <v>0</v>
      </c>
    </row>
    <row r="57" spans="1:486">
      <c r="A57">
        <v>11999</v>
      </c>
      <c r="B57" t="s">
        <v>503</v>
      </c>
      <c r="C57" t="s">
        <v>972</v>
      </c>
      <c r="D57" t="s">
        <v>504</v>
      </c>
      <c r="E57" t="s">
        <v>500</v>
      </c>
      <c r="F57" t="s">
        <v>496</v>
      </c>
      <c r="G57">
        <v>17</v>
      </c>
      <c r="H57" t="s">
        <v>487</v>
      </c>
      <c r="I57" t="s">
        <v>487</v>
      </c>
      <c r="J57" t="s">
        <v>488</v>
      </c>
      <c r="K57" t="s">
        <v>487</v>
      </c>
      <c r="L57" t="s">
        <v>489</v>
      </c>
      <c r="M57" t="s">
        <v>489</v>
      </c>
      <c r="N57" t="s">
        <v>489</v>
      </c>
      <c r="O57" t="s">
        <v>489</v>
      </c>
      <c r="P57" t="s">
        <v>490</v>
      </c>
      <c r="Q57" t="s">
        <v>490</v>
      </c>
      <c r="R57" t="s">
        <v>489</v>
      </c>
      <c r="S57" t="s">
        <v>489</v>
      </c>
      <c r="T57" t="s">
        <v>489</v>
      </c>
      <c r="U57" t="s">
        <v>490</v>
      </c>
      <c r="V57" t="s">
        <v>490</v>
      </c>
      <c r="W57" t="s">
        <v>489</v>
      </c>
      <c r="X57" t="s">
        <v>489</v>
      </c>
      <c r="Y57" t="s">
        <v>490</v>
      </c>
      <c r="Z57" t="s">
        <v>490</v>
      </c>
      <c r="AA57" t="s">
        <v>489</v>
      </c>
      <c r="AB57" t="s">
        <v>490</v>
      </c>
      <c r="AC57" t="s">
        <v>489</v>
      </c>
      <c r="AD57" t="s">
        <v>490</v>
      </c>
      <c r="AE57" t="s">
        <v>490</v>
      </c>
      <c r="AF57" t="s">
        <v>490</v>
      </c>
      <c r="AG57" t="s">
        <v>490</v>
      </c>
      <c r="AH57" t="s">
        <v>489</v>
      </c>
      <c r="AI57" t="s">
        <v>489</v>
      </c>
      <c r="AJ57" t="s">
        <v>490</v>
      </c>
      <c r="AK57" t="s">
        <v>490</v>
      </c>
      <c r="AL57" t="s">
        <v>490</v>
      </c>
      <c r="AM57" t="s">
        <v>490</v>
      </c>
      <c r="AN57" t="s">
        <v>489</v>
      </c>
      <c r="AO57" t="s">
        <v>490</v>
      </c>
      <c r="AP57" t="s">
        <v>490</v>
      </c>
      <c r="AQ57" t="s">
        <v>489</v>
      </c>
      <c r="AR57" t="s">
        <v>490</v>
      </c>
      <c r="AS57" t="s">
        <v>490</v>
      </c>
      <c r="AT57" t="s">
        <v>489</v>
      </c>
      <c r="AU57" t="s">
        <v>489</v>
      </c>
      <c r="AV57" t="s">
        <v>489</v>
      </c>
      <c r="AW57" t="s">
        <v>490</v>
      </c>
      <c r="AX57" t="s">
        <v>489</v>
      </c>
      <c r="AY57" t="s">
        <v>490</v>
      </c>
      <c r="AZ57" t="s">
        <v>490</v>
      </c>
      <c r="BA57" t="s">
        <v>489</v>
      </c>
      <c r="BB57" t="s">
        <v>490</v>
      </c>
      <c r="BC57" t="s">
        <v>490</v>
      </c>
      <c r="BD57" t="s">
        <v>489</v>
      </c>
      <c r="BE57" t="s">
        <v>490</v>
      </c>
      <c r="BF57" t="s">
        <v>490</v>
      </c>
      <c r="BG57" t="s">
        <v>490</v>
      </c>
      <c r="BH57" t="s">
        <v>490</v>
      </c>
      <c r="BI57" t="s">
        <v>489</v>
      </c>
      <c r="BJ57" t="s">
        <v>489</v>
      </c>
      <c r="BK57" t="s">
        <v>490</v>
      </c>
      <c r="BL57" t="s">
        <v>490</v>
      </c>
      <c r="BM57" t="s">
        <v>489</v>
      </c>
      <c r="BN57" t="s">
        <v>490</v>
      </c>
      <c r="BO57" t="s">
        <v>490</v>
      </c>
      <c r="BP57" t="s">
        <v>490</v>
      </c>
      <c r="BQ57" t="s">
        <v>490</v>
      </c>
      <c r="BR57" t="s">
        <v>489</v>
      </c>
      <c r="BS57" t="s">
        <v>489</v>
      </c>
      <c r="BT57" t="s">
        <v>490</v>
      </c>
      <c r="BU57" t="s">
        <v>490</v>
      </c>
      <c r="BV57" t="s">
        <v>490</v>
      </c>
      <c r="BW57" t="s">
        <v>490</v>
      </c>
      <c r="BX57" t="s">
        <v>489</v>
      </c>
      <c r="BY57" t="s">
        <v>489</v>
      </c>
      <c r="BZ57" t="s">
        <v>490</v>
      </c>
      <c r="CA57" t="s">
        <v>490</v>
      </c>
      <c r="CB57" t="s">
        <v>489</v>
      </c>
      <c r="CC57" t="s">
        <v>490</v>
      </c>
      <c r="CD57" t="s">
        <v>490</v>
      </c>
      <c r="CE57" t="s">
        <v>490</v>
      </c>
      <c r="CF57" t="s">
        <v>490</v>
      </c>
      <c r="CG57" t="s">
        <v>489</v>
      </c>
      <c r="CH57" t="s">
        <v>489</v>
      </c>
      <c r="CI57" t="s">
        <v>490</v>
      </c>
      <c r="CJ57" t="s">
        <v>490</v>
      </c>
      <c r="CK57" t="s">
        <v>489</v>
      </c>
      <c r="CL57" t="s">
        <v>490</v>
      </c>
      <c r="CM57" t="s">
        <v>490</v>
      </c>
      <c r="CN57" t="s">
        <v>489</v>
      </c>
      <c r="CO57" t="s">
        <v>490</v>
      </c>
      <c r="CP57" t="s">
        <v>490</v>
      </c>
      <c r="DI57" t="s">
        <v>490</v>
      </c>
      <c r="DJ57" t="s">
        <v>490</v>
      </c>
      <c r="DK57" t="s">
        <v>489</v>
      </c>
      <c r="DL57" t="s">
        <v>490</v>
      </c>
      <c r="DM57" t="s">
        <v>490</v>
      </c>
      <c r="DN57" t="s">
        <v>489</v>
      </c>
      <c r="DO57" t="s">
        <v>490</v>
      </c>
      <c r="DP57" t="s">
        <v>490</v>
      </c>
      <c r="DQ57" t="s">
        <v>489</v>
      </c>
      <c r="DR57" t="s">
        <v>489</v>
      </c>
      <c r="DS57" t="s">
        <v>489</v>
      </c>
      <c r="DT57" t="s">
        <v>490</v>
      </c>
      <c r="DU57" t="s">
        <v>489</v>
      </c>
      <c r="DV57" t="s">
        <v>489</v>
      </c>
      <c r="DW57" t="s">
        <v>490</v>
      </c>
      <c r="DX57" t="s">
        <v>489</v>
      </c>
      <c r="DY57" t="s">
        <v>489</v>
      </c>
      <c r="DZ57" t="s">
        <v>490</v>
      </c>
      <c r="EA57" t="s">
        <v>490</v>
      </c>
      <c r="EB57" t="s">
        <v>489</v>
      </c>
      <c r="EC57" t="s">
        <v>490</v>
      </c>
      <c r="ED57" t="s">
        <v>490</v>
      </c>
      <c r="EE57" t="s">
        <v>490</v>
      </c>
      <c r="EF57" t="s">
        <v>489</v>
      </c>
      <c r="EG57" t="s">
        <v>490</v>
      </c>
      <c r="EH57" t="s">
        <v>489</v>
      </c>
      <c r="EI57" t="s">
        <v>490</v>
      </c>
      <c r="EJ57" t="s">
        <v>490</v>
      </c>
      <c r="EK57" t="s">
        <v>489</v>
      </c>
      <c r="EL57" t="s">
        <v>490</v>
      </c>
      <c r="EM57" t="s">
        <v>490</v>
      </c>
      <c r="EN57" t="s">
        <v>489</v>
      </c>
      <c r="EO57" t="s">
        <v>490</v>
      </c>
      <c r="EP57" t="s">
        <v>490</v>
      </c>
      <c r="EQ57" t="s">
        <v>489</v>
      </c>
      <c r="ER57" t="s">
        <v>490</v>
      </c>
      <c r="ES57" t="s">
        <v>490</v>
      </c>
      <c r="ET57" t="s">
        <v>489</v>
      </c>
      <c r="EU57" t="s">
        <v>490</v>
      </c>
      <c r="EV57" t="s">
        <v>490</v>
      </c>
      <c r="EW57" t="s">
        <v>489</v>
      </c>
      <c r="EX57" t="s">
        <v>490</v>
      </c>
      <c r="EY57">
        <v>60</v>
      </c>
      <c r="EZ57">
        <v>40</v>
      </c>
      <c r="FA57">
        <v>60</v>
      </c>
      <c r="FB57" t="s">
        <v>491</v>
      </c>
      <c r="OH57" s="15">
        <v>0</v>
      </c>
      <c r="OI57" s="15">
        <v>0</v>
      </c>
      <c r="OJ57" s="15">
        <v>0</v>
      </c>
      <c r="OK57" s="15">
        <v>0</v>
      </c>
      <c r="OL57" s="15">
        <v>0</v>
      </c>
      <c r="OM57" s="15">
        <v>0</v>
      </c>
      <c r="ON57" s="15">
        <v>0</v>
      </c>
      <c r="OO57" s="15">
        <v>0</v>
      </c>
    </row>
    <row r="58" spans="1:486">
      <c r="A58">
        <v>11934</v>
      </c>
      <c r="B58" t="s">
        <v>503</v>
      </c>
      <c r="C58" t="s">
        <v>972</v>
      </c>
      <c r="D58" t="s">
        <v>504</v>
      </c>
      <c r="E58" t="s">
        <v>500</v>
      </c>
      <c r="F58" t="s">
        <v>496</v>
      </c>
      <c r="G58">
        <v>28.6</v>
      </c>
      <c r="H58" t="s">
        <v>487</v>
      </c>
      <c r="I58" t="s">
        <v>488</v>
      </c>
      <c r="J58" t="s">
        <v>488</v>
      </c>
      <c r="K58" t="s">
        <v>487</v>
      </c>
      <c r="L58" t="s">
        <v>489</v>
      </c>
      <c r="M58" t="s">
        <v>489</v>
      </c>
      <c r="N58" t="s">
        <v>490</v>
      </c>
      <c r="O58" t="s">
        <v>489</v>
      </c>
      <c r="P58" t="s">
        <v>490</v>
      </c>
      <c r="Q58" t="s">
        <v>490</v>
      </c>
      <c r="R58" t="s">
        <v>489</v>
      </c>
      <c r="S58" t="s">
        <v>489</v>
      </c>
      <c r="T58" t="s">
        <v>489</v>
      </c>
      <c r="U58" t="s">
        <v>490</v>
      </c>
      <c r="V58" t="s">
        <v>490</v>
      </c>
      <c r="W58" t="s">
        <v>489</v>
      </c>
      <c r="X58" t="s">
        <v>490</v>
      </c>
      <c r="Y58" t="s">
        <v>490</v>
      </c>
      <c r="Z58" t="s">
        <v>490</v>
      </c>
      <c r="AA58" t="s">
        <v>490</v>
      </c>
      <c r="AB58" t="s">
        <v>489</v>
      </c>
      <c r="AC58" t="s">
        <v>489</v>
      </c>
      <c r="AD58" t="s">
        <v>490</v>
      </c>
      <c r="AE58" t="s">
        <v>490</v>
      </c>
      <c r="AF58" t="s">
        <v>489</v>
      </c>
      <c r="AG58" t="s">
        <v>490</v>
      </c>
      <c r="AH58" t="s">
        <v>490</v>
      </c>
      <c r="AI58" t="s">
        <v>489</v>
      </c>
      <c r="AJ58" t="s">
        <v>490</v>
      </c>
      <c r="AK58" t="s">
        <v>490</v>
      </c>
      <c r="AL58" t="s">
        <v>489</v>
      </c>
      <c r="AM58" t="s">
        <v>490</v>
      </c>
      <c r="AN58" t="s">
        <v>490</v>
      </c>
      <c r="AO58" t="s">
        <v>489</v>
      </c>
      <c r="AP58" t="s">
        <v>490</v>
      </c>
      <c r="AQ58" t="s">
        <v>490</v>
      </c>
      <c r="AR58" t="s">
        <v>490</v>
      </c>
      <c r="AS58" t="s">
        <v>490</v>
      </c>
      <c r="AT58" t="s">
        <v>489</v>
      </c>
      <c r="AU58" t="s">
        <v>490</v>
      </c>
      <c r="AV58" t="s">
        <v>490</v>
      </c>
      <c r="AW58" t="s">
        <v>489</v>
      </c>
      <c r="AX58" t="s">
        <v>489</v>
      </c>
      <c r="AY58" t="s">
        <v>490</v>
      </c>
      <c r="AZ58" t="s">
        <v>490</v>
      </c>
      <c r="BA58" t="s">
        <v>489</v>
      </c>
      <c r="BB58" t="s">
        <v>490</v>
      </c>
      <c r="BC58" t="s">
        <v>490</v>
      </c>
      <c r="BD58" t="s">
        <v>489</v>
      </c>
      <c r="BE58" t="s">
        <v>490</v>
      </c>
      <c r="BF58" t="s">
        <v>490</v>
      </c>
      <c r="BG58" t="s">
        <v>489</v>
      </c>
      <c r="BH58" t="s">
        <v>490</v>
      </c>
      <c r="BI58" t="s">
        <v>490</v>
      </c>
      <c r="BJ58" t="s">
        <v>489</v>
      </c>
      <c r="BK58" t="s">
        <v>490</v>
      </c>
      <c r="BL58" t="s">
        <v>490</v>
      </c>
      <c r="BM58" t="s">
        <v>490</v>
      </c>
      <c r="BN58" t="s">
        <v>490</v>
      </c>
      <c r="BO58" t="s">
        <v>489</v>
      </c>
      <c r="BP58" t="s">
        <v>490</v>
      </c>
      <c r="BQ58" t="s">
        <v>490</v>
      </c>
      <c r="BR58" t="s">
        <v>489</v>
      </c>
      <c r="BS58" t="s">
        <v>489</v>
      </c>
      <c r="BT58" t="s">
        <v>490</v>
      </c>
      <c r="BU58" t="s">
        <v>490</v>
      </c>
      <c r="CB58" t="s">
        <v>489</v>
      </c>
      <c r="CC58" t="s">
        <v>490</v>
      </c>
      <c r="CD58" t="s">
        <v>490</v>
      </c>
      <c r="CE58" t="s">
        <v>489</v>
      </c>
      <c r="CF58" t="s">
        <v>490</v>
      </c>
      <c r="CG58" t="s">
        <v>490</v>
      </c>
      <c r="CH58" t="s">
        <v>489</v>
      </c>
      <c r="CI58" t="s">
        <v>490</v>
      </c>
      <c r="CJ58" t="s">
        <v>490</v>
      </c>
      <c r="CK58" t="s">
        <v>489</v>
      </c>
      <c r="CL58" t="s">
        <v>490</v>
      </c>
      <c r="CM58" t="s">
        <v>490</v>
      </c>
      <c r="CN58" t="s">
        <v>489</v>
      </c>
      <c r="CO58" t="s">
        <v>490</v>
      </c>
      <c r="CP58" t="s">
        <v>490</v>
      </c>
      <c r="DI58" t="s">
        <v>490</v>
      </c>
      <c r="DJ58" t="s">
        <v>490</v>
      </c>
      <c r="DK58" t="s">
        <v>489</v>
      </c>
      <c r="DL58" t="s">
        <v>490</v>
      </c>
      <c r="DM58" t="s">
        <v>490</v>
      </c>
      <c r="DN58" t="s">
        <v>489</v>
      </c>
      <c r="DO58" t="s">
        <v>490</v>
      </c>
      <c r="DP58" t="s">
        <v>490</v>
      </c>
      <c r="DQ58" t="s">
        <v>489</v>
      </c>
      <c r="DR58" t="s">
        <v>489</v>
      </c>
      <c r="DS58" t="s">
        <v>490</v>
      </c>
      <c r="DT58" t="s">
        <v>490</v>
      </c>
      <c r="DU58" t="s">
        <v>490</v>
      </c>
      <c r="DV58" t="s">
        <v>489</v>
      </c>
      <c r="DW58" t="s">
        <v>490</v>
      </c>
      <c r="DX58" t="s">
        <v>490</v>
      </c>
      <c r="DY58" t="s">
        <v>489</v>
      </c>
      <c r="DZ58" t="s">
        <v>490</v>
      </c>
      <c r="EA58" t="s">
        <v>490</v>
      </c>
      <c r="EB58" t="s">
        <v>490</v>
      </c>
      <c r="EC58" t="s">
        <v>489</v>
      </c>
      <c r="ED58" t="s">
        <v>490</v>
      </c>
      <c r="EE58" t="s">
        <v>490</v>
      </c>
      <c r="EF58" t="s">
        <v>489</v>
      </c>
      <c r="EG58" t="s">
        <v>490</v>
      </c>
      <c r="EH58" t="s">
        <v>489</v>
      </c>
      <c r="EI58" t="s">
        <v>490</v>
      </c>
      <c r="EJ58" t="s">
        <v>490</v>
      </c>
      <c r="EK58" t="s">
        <v>490</v>
      </c>
      <c r="EL58" t="s">
        <v>489</v>
      </c>
      <c r="EM58" t="s">
        <v>490</v>
      </c>
      <c r="EN58" t="s">
        <v>490</v>
      </c>
      <c r="EO58" t="s">
        <v>489</v>
      </c>
      <c r="EP58" t="s">
        <v>490</v>
      </c>
      <c r="EQ58" t="s">
        <v>490</v>
      </c>
      <c r="ER58" t="s">
        <v>489</v>
      </c>
      <c r="ES58" t="s">
        <v>490</v>
      </c>
      <c r="ET58" t="s">
        <v>490</v>
      </c>
      <c r="EU58" t="s">
        <v>489</v>
      </c>
      <c r="EV58" t="s">
        <v>490</v>
      </c>
      <c r="EW58" t="s">
        <v>489</v>
      </c>
      <c r="EX58" t="s">
        <v>490</v>
      </c>
      <c r="EY58">
        <v>95</v>
      </c>
      <c r="EZ58">
        <v>2</v>
      </c>
      <c r="FA58">
        <v>10</v>
      </c>
      <c r="FB58" t="s">
        <v>543</v>
      </c>
      <c r="OH58" s="15">
        <v>0</v>
      </c>
      <c r="OI58" s="15">
        <v>0</v>
      </c>
      <c r="OJ58" s="15">
        <v>0</v>
      </c>
      <c r="OK58" s="15">
        <v>0</v>
      </c>
      <c r="OL58" s="15">
        <v>0</v>
      </c>
      <c r="OM58" s="15">
        <v>0</v>
      </c>
      <c r="ON58" s="15">
        <v>0</v>
      </c>
      <c r="OO58" s="15">
        <v>0</v>
      </c>
    </row>
    <row r="59" spans="1:486">
      <c r="A59">
        <v>1003515</v>
      </c>
      <c r="B59" t="s">
        <v>503</v>
      </c>
      <c r="C59" t="s">
        <v>972</v>
      </c>
      <c r="D59" t="s">
        <v>504</v>
      </c>
      <c r="E59" t="s">
        <v>500</v>
      </c>
      <c r="F59" t="s">
        <v>496</v>
      </c>
      <c r="G59">
        <v>58</v>
      </c>
      <c r="H59" t="s">
        <v>487</v>
      </c>
      <c r="I59" t="s">
        <v>487</v>
      </c>
      <c r="J59" t="s">
        <v>487</v>
      </c>
      <c r="K59" t="s">
        <v>487</v>
      </c>
      <c r="L59" t="s">
        <v>490</v>
      </c>
      <c r="M59" t="s">
        <v>489</v>
      </c>
      <c r="N59" t="s">
        <v>490</v>
      </c>
      <c r="O59" t="s">
        <v>489</v>
      </c>
      <c r="P59" t="s">
        <v>490</v>
      </c>
      <c r="Q59" t="s">
        <v>490</v>
      </c>
      <c r="R59" t="s">
        <v>490</v>
      </c>
      <c r="S59" t="s">
        <v>490</v>
      </c>
      <c r="AX59" t="s">
        <v>489</v>
      </c>
      <c r="AY59" t="s">
        <v>490</v>
      </c>
      <c r="AZ59" t="s">
        <v>490</v>
      </c>
      <c r="BA59" t="s">
        <v>489</v>
      </c>
      <c r="BB59" t="s">
        <v>490</v>
      </c>
      <c r="BC59" t="s">
        <v>490</v>
      </c>
      <c r="BD59" t="s">
        <v>489</v>
      </c>
      <c r="BE59" t="s">
        <v>490</v>
      </c>
      <c r="BF59" t="s">
        <v>490</v>
      </c>
      <c r="BG59" t="s">
        <v>489</v>
      </c>
      <c r="BH59" t="s">
        <v>490</v>
      </c>
      <c r="BI59" t="s">
        <v>490</v>
      </c>
      <c r="BJ59" t="s">
        <v>489</v>
      </c>
      <c r="BK59" t="s">
        <v>490</v>
      </c>
      <c r="BL59" t="s">
        <v>490</v>
      </c>
      <c r="BM59" t="s">
        <v>489</v>
      </c>
      <c r="BN59" t="s">
        <v>490</v>
      </c>
      <c r="BO59" t="s">
        <v>490</v>
      </c>
      <c r="BP59" t="s">
        <v>490</v>
      </c>
      <c r="BQ59" t="s">
        <v>490</v>
      </c>
      <c r="BR59" t="s">
        <v>489</v>
      </c>
      <c r="BS59" t="s">
        <v>489</v>
      </c>
      <c r="BT59" t="s">
        <v>490</v>
      </c>
      <c r="BU59" t="s">
        <v>490</v>
      </c>
      <c r="CB59" t="s">
        <v>489</v>
      </c>
      <c r="CC59" t="s">
        <v>490</v>
      </c>
      <c r="CD59" t="s">
        <v>490</v>
      </c>
      <c r="CE59" t="s">
        <v>489</v>
      </c>
      <c r="CF59" t="s">
        <v>490</v>
      </c>
      <c r="CG59" t="s">
        <v>490</v>
      </c>
      <c r="CH59" t="s">
        <v>489</v>
      </c>
      <c r="CI59" t="s">
        <v>490</v>
      </c>
      <c r="CJ59" t="s">
        <v>490</v>
      </c>
      <c r="CK59" t="s">
        <v>489</v>
      </c>
      <c r="CL59" t="s">
        <v>490</v>
      </c>
      <c r="CM59" t="s">
        <v>490</v>
      </c>
      <c r="CN59" t="s">
        <v>489</v>
      </c>
      <c r="CO59" t="s">
        <v>490</v>
      </c>
      <c r="CP59" t="s">
        <v>490</v>
      </c>
      <c r="EY59">
        <v>95</v>
      </c>
      <c r="EZ59">
        <v>65</v>
      </c>
      <c r="FA59">
        <v>35</v>
      </c>
      <c r="FB59" t="s">
        <v>491</v>
      </c>
      <c r="OH59" s="15">
        <v>0</v>
      </c>
      <c r="OI59" s="15">
        <v>0</v>
      </c>
      <c r="OJ59" s="15">
        <v>0</v>
      </c>
      <c r="OK59" s="15">
        <v>0</v>
      </c>
      <c r="OL59" s="15">
        <v>0</v>
      </c>
      <c r="OM59" s="15">
        <v>0</v>
      </c>
      <c r="ON59" s="15">
        <v>0</v>
      </c>
      <c r="OO59" s="15">
        <v>0</v>
      </c>
      <c r="RJ59" t="s">
        <v>602</v>
      </c>
    </row>
    <row r="60" spans="1:486">
      <c r="A60">
        <v>1004152</v>
      </c>
      <c r="B60" t="s">
        <v>503</v>
      </c>
      <c r="C60" t="s">
        <v>972</v>
      </c>
      <c r="D60" t="s">
        <v>504</v>
      </c>
      <c r="E60" t="s">
        <v>500</v>
      </c>
      <c r="F60" t="s">
        <v>496</v>
      </c>
      <c r="G60">
        <v>35</v>
      </c>
      <c r="H60" t="s">
        <v>487</v>
      </c>
      <c r="I60" t="s">
        <v>487</v>
      </c>
      <c r="J60" t="s">
        <v>488</v>
      </c>
      <c r="K60" t="s">
        <v>488</v>
      </c>
      <c r="L60" t="s">
        <v>489</v>
      </c>
      <c r="M60" t="s">
        <v>489</v>
      </c>
      <c r="N60" t="s">
        <v>489</v>
      </c>
      <c r="O60" t="s">
        <v>489</v>
      </c>
      <c r="P60" t="s">
        <v>489</v>
      </c>
      <c r="Q60" t="s">
        <v>489</v>
      </c>
      <c r="R60" t="s">
        <v>490</v>
      </c>
      <c r="S60" t="s">
        <v>490</v>
      </c>
      <c r="T60" t="s">
        <v>489</v>
      </c>
      <c r="U60" t="s">
        <v>490</v>
      </c>
      <c r="V60" t="s">
        <v>490</v>
      </c>
      <c r="W60" t="s">
        <v>489</v>
      </c>
      <c r="X60" t="s">
        <v>490</v>
      </c>
      <c r="Y60" t="s">
        <v>490</v>
      </c>
      <c r="Z60" t="s">
        <v>490</v>
      </c>
      <c r="AA60" t="s">
        <v>490</v>
      </c>
      <c r="AB60" t="s">
        <v>489</v>
      </c>
      <c r="AC60" t="s">
        <v>489</v>
      </c>
      <c r="AD60" t="s">
        <v>490</v>
      </c>
      <c r="AE60" t="s">
        <v>490</v>
      </c>
      <c r="AF60" t="s">
        <v>489</v>
      </c>
      <c r="AG60" t="s">
        <v>490</v>
      </c>
      <c r="AH60" t="s">
        <v>490</v>
      </c>
      <c r="AI60" t="s">
        <v>489</v>
      </c>
      <c r="AJ60" t="s">
        <v>490</v>
      </c>
      <c r="AK60" t="s">
        <v>490</v>
      </c>
      <c r="AL60" t="s">
        <v>490</v>
      </c>
      <c r="AM60" t="s">
        <v>490</v>
      </c>
      <c r="AN60" t="s">
        <v>489</v>
      </c>
      <c r="AO60" t="s">
        <v>489</v>
      </c>
      <c r="AP60" t="s">
        <v>490</v>
      </c>
      <c r="AQ60" t="s">
        <v>490</v>
      </c>
      <c r="AR60" t="s">
        <v>489</v>
      </c>
      <c r="AS60" t="s">
        <v>490</v>
      </c>
      <c r="AT60" t="s">
        <v>490</v>
      </c>
      <c r="AU60" t="s">
        <v>489</v>
      </c>
      <c r="AV60" t="s">
        <v>490</v>
      </c>
      <c r="AW60" t="s">
        <v>490</v>
      </c>
      <c r="FB60" t="s">
        <v>543</v>
      </c>
      <c r="OH60" s="15">
        <v>0</v>
      </c>
      <c r="OI60" s="15">
        <v>0</v>
      </c>
      <c r="OJ60" s="15">
        <v>0</v>
      </c>
      <c r="OK60" s="15">
        <v>0</v>
      </c>
      <c r="OL60" s="15">
        <v>0</v>
      </c>
      <c r="OM60" s="15">
        <v>0</v>
      </c>
      <c r="ON60" s="15">
        <v>0</v>
      </c>
      <c r="OO60" s="15">
        <v>0</v>
      </c>
    </row>
    <row r="61" spans="1:486">
      <c r="A61">
        <v>1003790</v>
      </c>
      <c r="B61" t="s">
        <v>503</v>
      </c>
      <c r="C61" t="s">
        <v>972</v>
      </c>
      <c r="D61" t="s">
        <v>504</v>
      </c>
      <c r="E61" t="s">
        <v>500</v>
      </c>
      <c r="F61" t="s">
        <v>505</v>
      </c>
      <c r="G61">
        <v>1.4</v>
      </c>
      <c r="H61" t="s">
        <v>487</v>
      </c>
      <c r="I61" t="s">
        <v>487</v>
      </c>
      <c r="J61" t="s">
        <v>487</v>
      </c>
      <c r="K61" t="s">
        <v>488</v>
      </c>
      <c r="L61" t="s">
        <v>489</v>
      </c>
      <c r="M61" t="s">
        <v>489</v>
      </c>
      <c r="N61" t="s">
        <v>489</v>
      </c>
      <c r="O61" t="s">
        <v>489</v>
      </c>
      <c r="P61" t="s">
        <v>490</v>
      </c>
      <c r="Q61" t="s">
        <v>489</v>
      </c>
      <c r="R61" t="s">
        <v>490</v>
      </c>
      <c r="S61" t="s">
        <v>490</v>
      </c>
      <c r="T61" t="s">
        <v>490</v>
      </c>
      <c r="U61" t="s">
        <v>490</v>
      </c>
      <c r="V61" t="s">
        <v>489</v>
      </c>
      <c r="W61" t="s">
        <v>489</v>
      </c>
      <c r="X61" t="s">
        <v>490</v>
      </c>
      <c r="Y61" t="s">
        <v>490</v>
      </c>
      <c r="Z61" t="s">
        <v>490</v>
      </c>
      <c r="AA61" t="s">
        <v>490</v>
      </c>
      <c r="AB61" t="s">
        <v>489</v>
      </c>
      <c r="AC61" t="s">
        <v>490</v>
      </c>
      <c r="AD61" t="s">
        <v>490</v>
      </c>
      <c r="AE61" t="s">
        <v>489</v>
      </c>
      <c r="AF61" t="s">
        <v>490</v>
      </c>
      <c r="AG61" t="s">
        <v>490</v>
      </c>
      <c r="AH61" t="s">
        <v>489</v>
      </c>
      <c r="AI61" t="s">
        <v>489</v>
      </c>
      <c r="AJ61" t="s">
        <v>490</v>
      </c>
      <c r="AK61" t="s">
        <v>490</v>
      </c>
      <c r="AL61" t="s">
        <v>490</v>
      </c>
      <c r="AM61" t="s">
        <v>490</v>
      </c>
      <c r="AN61" t="s">
        <v>489</v>
      </c>
      <c r="AO61" t="s">
        <v>490</v>
      </c>
      <c r="AP61" t="s">
        <v>490</v>
      </c>
      <c r="AQ61" t="s">
        <v>489</v>
      </c>
      <c r="AR61" t="s">
        <v>490</v>
      </c>
      <c r="AS61" t="s">
        <v>490</v>
      </c>
      <c r="AT61" t="s">
        <v>489</v>
      </c>
      <c r="AU61" t="s">
        <v>490</v>
      </c>
      <c r="AV61" t="s">
        <v>490</v>
      </c>
      <c r="AW61" t="s">
        <v>489</v>
      </c>
      <c r="AX61" t="s">
        <v>489</v>
      </c>
      <c r="AY61" t="s">
        <v>489</v>
      </c>
      <c r="AZ61" t="s">
        <v>490</v>
      </c>
      <c r="BA61" t="s">
        <v>489</v>
      </c>
      <c r="BB61" t="s">
        <v>489</v>
      </c>
      <c r="BC61" t="s">
        <v>490</v>
      </c>
      <c r="BD61" t="s">
        <v>490</v>
      </c>
      <c r="BE61" t="s">
        <v>490</v>
      </c>
      <c r="BF61" t="s">
        <v>489</v>
      </c>
      <c r="BG61" t="s">
        <v>489</v>
      </c>
      <c r="BH61" t="s">
        <v>489</v>
      </c>
      <c r="BI61" t="s">
        <v>490</v>
      </c>
      <c r="BJ61" t="s">
        <v>489</v>
      </c>
      <c r="BK61" t="s">
        <v>489</v>
      </c>
      <c r="BL61" t="s">
        <v>490</v>
      </c>
      <c r="BM61" t="s">
        <v>490</v>
      </c>
      <c r="BN61" t="s">
        <v>490</v>
      </c>
      <c r="BO61" t="s">
        <v>489</v>
      </c>
      <c r="BP61" t="s">
        <v>490</v>
      </c>
      <c r="BQ61" t="s">
        <v>490</v>
      </c>
      <c r="BR61" t="s">
        <v>489</v>
      </c>
      <c r="BS61" t="s">
        <v>490</v>
      </c>
      <c r="BT61" t="s">
        <v>490</v>
      </c>
      <c r="BU61" t="s">
        <v>489</v>
      </c>
      <c r="BV61" t="s">
        <v>490</v>
      </c>
      <c r="BW61" t="s">
        <v>490</v>
      </c>
      <c r="BX61" t="s">
        <v>489</v>
      </c>
      <c r="BY61" t="s">
        <v>489</v>
      </c>
      <c r="BZ61" t="s">
        <v>489</v>
      </c>
      <c r="CA61" t="s">
        <v>490</v>
      </c>
      <c r="CB61" t="s">
        <v>490</v>
      </c>
      <c r="CC61" t="s">
        <v>490</v>
      </c>
      <c r="CD61" t="s">
        <v>489</v>
      </c>
      <c r="CE61" t="s">
        <v>490</v>
      </c>
      <c r="CF61" t="s">
        <v>490</v>
      </c>
      <c r="CG61" t="s">
        <v>489</v>
      </c>
      <c r="CH61" t="s">
        <v>489</v>
      </c>
      <c r="CI61" t="s">
        <v>489</v>
      </c>
      <c r="CJ61" t="s">
        <v>490</v>
      </c>
      <c r="CK61" t="s">
        <v>490</v>
      </c>
      <c r="CL61" t="s">
        <v>490</v>
      </c>
      <c r="CM61" t="s">
        <v>489</v>
      </c>
      <c r="CN61" t="s">
        <v>490</v>
      </c>
      <c r="CO61" t="s">
        <v>490</v>
      </c>
      <c r="CP61" t="s">
        <v>489</v>
      </c>
      <c r="CW61" t="s">
        <v>489</v>
      </c>
      <c r="CX61" t="s">
        <v>490</v>
      </c>
      <c r="CY61" t="s">
        <v>490</v>
      </c>
      <c r="CZ61" t="s">
        <v>490</v>
      </c>
      <c r="DA61" t="s">
        <v>490</v>
      </c>
      <c r="DB61" t="s">
        <v>489</v>
      </c>
      <c r="DC61" t="s">
        <v>490</v>
      </c>
      <c r="DD61" t="s">
        <v>490</v>
      </c>
      <c r="DE61" t="s">
        <v>489</v>
      </c>
      <c r="DF61" t="s">
        <v>490</v>
      </c>
      <c r="DG61" t="s">
        <v>490</v>
      </c>
      <c r="DH61" t="s">
        <v>489</v>
      </c>
      <c r="EY61">
        <v>100</v>
      </c>
      <c r="EZ61">
        <v>95</v>
      </c>
      <c r="FA61">
        <v>5</v>
      </c>
      <c r="FB61" t="s">
        <v>491</v>
      </c>
      <c r="OH61" s="15">
        <v>6</v>
      </c>
      <c r="OI61" s="15">
        <v>6</v>
      </c>
      <c r="OJ61" s="15">
        <v>8</v>
      </c>
      <c r="OK61" s="15">
        <v>6</v>
      </c>
      <c r="OL61" s="15">
        <v>8</v>
      </c>
      <c r="OM61" s="15">
        <v>10</v>
      </c>
      <c r="ON61" s="15">
        <v>1</v>
      </c>
      <c r="OO61" s="15">
        <v>1</v>
      </c>
      <c r="OQ61" t="s">
        <v>488</v>
      </c>
      <c r="OR61" t="s">
        <v>488</v>
      </c>
      <c r="OY61">
        <v>80</v>
      </c>
      <c r="OZ61">
        <v>0</v>
      </c>
      <c r="PA61">
        <v>0</v>
      </c>
      <c r="PB61">
        <v>0</v>
      </c>
      <c r="PC61">
        <v>50</v>
      </c>
      <c r="PD61">
        <v>0</v>
      </c>
      <c r="PE61">
        <v>0</v>
      </c>
      <c r="PF61">
        <v>0</v>
      </c>
      <c r="PG61">
        <v>0</v>
      </c>
      <c r="PH61">
        <v>0</v>
      </c>
      <c r="PI61">
        <v>80</v>
      </c>
      <c r="PJ61">
        <v>50</v>
      </c>
      <c r="PK61">
        <v>0</v>
      </c>
      <c r="PL61">
        <v>0</v>
      </c>
      <c r="PM61">
        <v>50</v>
      </c>
      <c r="PN61">
        <v>0</v>
      </c>
      <c r="PO61">
        <v>0</v>
      </c>
      <c r="PP61">
        <v>0</v>
      </c>
      <c r="PQ61">
        <v>0</v>
      </c>
      <c r="PR61">
        <v>0</v>
      </c>
      <c r="PT61" t="s">
        <v>488</v>
      </c>
      <c r="PU61" t="s">
        <v>519</v>
      </c>
      <c r="PV61">
        <v>1000</v>
      </c>
      <c r="PW61">
        <v>0</v>
      </c>
      <c r="PX61">
        <v>1000</v>
      </c>
      <c r="PY61" t="s">
        <v>493</v>
      </c>
      <c r="PZ61" t="s">
        <v>493</v>
      </c>
      <c r="QA61">
        <v>20</v>
      </c>
      <c r="QB61">
        <v>80</v>
      </c>
      <c r="QC61">
        <v>100</v>
      </c>
      <c r="QD61">
        <v>0</v>
      </c>
      <c r="QE61" t="s">
        <v>508</v>
      </c>
      <c r="QZ61">
        <v>0.1</v>
      </c>
      <c r="RA61">
        <v>0.8</v>
      </c>
      <c r="RB61" t="s">
        <v>489</v>
      </c>
      <c r="RC61" t="s">
        <v>490</v>
      </c>
      <c r="RD61" t="s">
        <v>490</v>
      </c>
      <c r="RE61" t="s">
        <v>490</v>
      </c>
      <c r="RF61" t="s">
        <v>490</v>
      </c>
      <c r="RG61" t="s">
        <v>490</v>
      </c>
      <c r="RH61" t="s">
        <v>490</v>
      </c>
      <c r="RI61" t="s">
        <v>490</v>
      </c>
    </row>
    <row r="62" spans="1:486">
      <c r="A62">
        <v>1003499</v>
      </c>
      <c r="B62" t="s">
        <v>503</v>
      </c>
      <c r="C62" t="s">
        <v>972</v>
      </c>
      <c r="D62" t="s">
        <v>504</v>
      </c>
      <c r="E62" t="s">
        <v>500</v>
      </c>
      <c r="F62" t="s">
        <v>505</v>
      </c>
      <c r="G62">
        <v>5</v>
      </c>
      <c r="H62" t="s">
        <v>487</v>
      </c>
      <c r="I62" t="s">
        <v>487</v>
      </c>
      <c r="J62" t="s">
        <v>487</v>
      </c>
      <c r="K62" t="s">
        <v>488</v>
      </c>
      <c r="L62" t="s">
        <v>490</v>
      </c>
      <c r="M62" t="s">
        <v>489</v>
      </c>
      <c r="N62" t="s">
        <v>490</v>
      </c>
      <c r="O62" t="s">
        <v>490</v>
      </c>
      <c r="P62" t="s">
        <v>490</v>
      </c>
      <c r="Q62" t="s">
        <v>490</v>
      </c>
      <c r="R62" t="s">
        <v>490</v>
      </c>
      <c r="S62" t="s">
        <v>490</v>
      </c>
      <c r="AX62" t="s">
        <v>489</v>
      </c>
      <c r="AY62" t="s">
        <v>489</v>
      </c>
      <c r="AZ62" t="s">
        <v>490</v>
      </c>
      <c r="BA62" t="s">
        <v>489</v>
      </c>
      <c r="BB62" t="s">
        <v>489</v>
      </c>
      <c r="BC62" t="s">
        <v>490</v>
      </c>
      <c r="BD62" t="s">
        <v>490</v>
      </c>
      <c r="BE62" t="s">
        <v>490</v>
      </c>
      <c r="BF62" t="s">
        <v>489</v>
      </c>
      <c r="BG62" t="s">
        <v>489</v>
      </c>
      <c r="BH62" t="s">
        <v>489</v>
      </c>
      <c r="BI62" t="s">
        <v>490</v>
      </c>
      <c r="BJ62" t="s">
        <v>490</v>
      </c>
      <c r="BK62" t="s">
        <v>490</v>
      </c>
      <c r="BL62" t="s">
        <v>489</v>
      </c>
      <c r="BM62" t="s">
        <v>490</v>
      </c>
      <c r="BN62" t="s">
        <v>490</v>
      </c>
      <c r="BO62" t="s">
        <v>489</v>
      </c>
      <c r="BP62" t="s">
        <v>490</v>
      </c>
      <c r="BQ62" t="s">
        <v>490</v>
      </c>
      <c r="BR62" t="s">
        <v>489</v>
      </c>
      <c r="BS62" t="s">
        <v>489</v>
      </c>
      <c r="BT62" t="s">
        <v>489</v>
      </c>
      <c r="BU62" t="s">
        <v>490</v>
      </c>
      <c r="EY62">
        <v>90</v>
      </c>
      <c r="EZ62">
        <v>30</v>
      </c>
      <c r="FA62">
        <v>70</v>
      </c>
      <c r="FB62" t="s">
        <v>543</v>
      </c>
      <c r="OH62" s="15">
        <v>7</v>
      </c>
      <c r="OI62" s="15">
        <v>1</v>
      </c>
      <c r="OJ62" s="15">
        <v>6</v>
      </c>
      <c r="OK62" s="15">
        <v>1</v>
      </c>
      <c r="OL62" s="15">
        <v>6</v>
      </c>
      <c r="OM62" s="15">
        <v>1</v>
      </c>
      <c r="ON62" s="15">
        <v>9</v>
      </c>
      <c r="OO62" s="15">
        <v>1</v>
      </c>
      <c r="OQ62" t="s">
        <v>487</v>
      </c>
      <c r="OR62" t="s">
        <v>488</v>
      </c>
      <c r="OY62">
        <v>0</v>
      </c>
      <c r="OZ62">
        <v>0</v>
      </c>
      <c r="PA62">
        <v>0</v>
      </c>
      <c r="PB62">
        <v>0</v>
      </c>
      <c r="PC62">
        <v>0</v>
      </c>
      <c r="PD62">
        <v>0</v>
      </c>
      <c r="PE62">
        <v>0</v>
      </c>
      <c r="PF62">
        <v>0</v>
      </c>
      <c r="PG62">
        <v>0</v>
      </c>
      <c r="PH62">
        <v>0</v>
      </c>
      <c r="PI62">
        <v>70</v>
      </c>
      <c r="PT62" t="s">
        <v>488</v>
      </c>
      <c r="PU62" t="s">
        <v>515</v>
      </c>
      <c r="PV62">
        <v>2000</v>
      </c>
      <c r="PW62">
        <v>0</v>
      </c>
      <c r="PX62">
        <v>2000</v>
      </c>
      <c r="PY62" t="s">
        <v>493</v>
      </c>
      <c r="PZ62" t="s">
        <v>493</v>
      </c>
      <c r="QA62">
        <v>100</v>
      </c>
      <c r="QB62">
        <v>0</v>
      </c>
      <c r="QC62">
        <v>100</v>
      </c>
      <c r="QD62">
        <v>0</v>
      </c>
      <c r="QE62" t="s">
        <v>508</v>
      </c>
      <c r="QZ62">
        <v>1</v>
      </c>
      <c r="RA62">
        <v>0</v>
      </c>
      <c r="RB62" t="s">
        <v>489</v>
      </c>
      <c r="RC62" t="s">
        <v>490</v>
      </c>
      <c r="RD62" t="s">
        <v>490</v>
      </c>
      <c r="RE62" t="s">
        <v>489</v>
      </c>
      <c r="RF62" t="s">
        <v>490</v>
      </c>
      <c r="RG62" t="s">
        <v>490</v>
      </c>
      <c r="RH62" t="s">
        <v>490</v>
      </c>
      <c r="RI62" t="s">
        <v>490</v>
      </c>
      <c r="RJ62" t="s">
        <v>616</v>
      </c>
    </row>
    <row r="63" spans="1:486">
      <c r="A63">
        <v>1003382</v>
      </c>
      <c r="B63" t="s">
        <v>503</v>
      </c>
      <c r="C63" t="s">
        <v>972</v>
      </c>
      <c r="D63" t="s">
        <v>504</v>
      </c>
      <c r="E63" t="s">
        <v>500</v>
      </c>
      <c r="F63" t="s">
        <v>496</v>
      </c>
      <c r="G63">
        <v>7</v>
      </c>
      <c r="H63" t="s">
        <v>487</v>
      </c>
      <c r="I63" t="s">
        <v>487</v>
      </c>
      <c r="J63" t="s">
        <v>488</v>
      </c>
      <c r="K63" t="s">
        <v>519</v>
      </c>
      <c r="L63" t="s">
        <v>489</v>
      </c>
      <c r="M63" t="s">
        <v>489</v>
      </c>
      <c r="N63" t="s">
        <v>489</v>
      </c>
      <c r="O63" t="s">
        <v>489</v>
      </c>
      <c r="P63" t="s">
        <v>490</v>
      </c>
      <c r="Q63" t="s">
        <v>489</v>
      </c>
      <c r="R63" t="s">
        <v>490</v>
      </c>
      <c r="S63" t="s">
        <v>489</v>
      </c>
      <c r="T63" t="s">
        <v>489</v>
      </c>
      <c r="U63" t="s">
        <v>490</v>
      </c>
      <c r="V63" t="s">
        <v>490</v>
      </c>
      <c r="W63" t="s">
        <v>489</v>
      </c>
      <c r="X63" t="s">
        <v>490</v>
      </c>
      <c r="Y63" t="s">
        <v>490</v>
      </c>
      <c r="Z63" t="s">
        <v>490</v>
      </c>
      <c r="AA63" t="s">
        <v>490</v>
      </c>
      <c r="AB63" t="s">
        <v>489</v>
      </c>
      <c r="AC63" t="s">
        <v>490</v>
      </c>
      <c r="AD63" t="s">
        <v>490</v>
      </c>
      <c r="AE63" t="s">
        <v>489</v>
      </c>
      <c r="AF63" t="s">
        <v>489</v>
      </c>
      <c r="AG63" t="s">
        <v>490</v>
      </c>
      <c r="AH63" t="s">
        <v>490</v>
      </c>
      <c r="AI63" t="s">
        <v>489</v>
      </c>
      <c r="AJ63" t="s">
        <v>490</v>
      </c>
      <c r="AK63" t="s">
        <v>490</v>
      </c>
      <c r="AL63" t="s">
        <v>490</v>
      </c>
      <c r="AM63" t="s">
        <v>490</v>
      </c>
      <c r="AN63" t="s">
        <v>489</v>
      </c>
      <c r="AO63" t="s">
        <v>489</v>
      </c>
      <c r="AP63" t="s">
        <v>490</v>
      </c>
      <c r="AQ63" t="s">
        <v>490</v>
      </c>
      <c r="AR63" t="s">
        <v>490</v>
      </c>
      <c r="AS63" t="s">
        <v>490</v>
      </c>
      <c r="AT63" t="s">
        <v>489</v>
      </c>
      <c r="AU63" t="s">
        <v>489</v>
      </c>
      <c r="AV63" t="s">
        <v>490</v>
      </c>
      <c r="AW63" t="s">
        <v>490</v>
      </c>
      <c r="AX63" t="s">
        <v>490</v>
      </c>
      <c r="AY63" t="s">
        <v>489</v>
      </c>
      <c r="AZ63" t="s">
        <v>490</v>
      </c>
      <c r="BA63" t="s">
        <v>490</v>
      </c>
      <c r="BB63" t="s">
        <v>489</v>
      </c>
      <c r="BC63" t="s">
        <v>490</v>
      </c>
      <c r="BD63" t="s">
        <v>490</v>
      </c>
      <c r="BE63" t="s">
        <v>490</v>
      </c>
      <c r="BF63" t="s">
        <v>489</v>
      </c>
      <c r="BG63" t="s">
        <v>490</v>
      </c>
      <c r="BH63" t="s">
        <v>490</v>
      </c>
      <c r="BI63" t="s">
        <v>489</v>
      </c>
      <c r="BJ63" t="s">
        <v>490</v>
      </c>
      <c r="BK63" t="s">
        <v>489</v>
      </c>
      <c r="BL63" t="s">
        <v>490</v>
      </c>
      <c r="BM63" t="s">
        <v>490</v>
      </c>
      <c r="BN63" t="s">
        <v>489</v>
      </c>
      <c r="BO63" t="s">
        <v>490</v>
      </c>
      <c r="BP63" t="s">
        <v>490</v>
      </c>
      <c r="BQ63" t="s">
        <v>490</v>
      </c>
      <c r="BR63" t="s">
        <v>489</v>
      </c>
      <c r="BS63" t="s">
        <v>490</v>
      </c>
      <c r="BT63" t="s">
        <v>489</v>
      </c>
      <c r="BU63" t="s">
        <v>490</v>
      </c>
      <c r="BV63" t="s">
        <v>490</v>
      </c>
      <c r="BW63" t="s">
        <v>490</v>
      </c>
      <c r="BX63" t="s">
        <v>489</v>
      </c>
      <c r="BY63" t="s">
        <v>489</v>
      </c>
      <c r="BZ63" t="s">
        <v>489</v>
      </c>
      <c r="CA63" t="s">
        <v>490</v>
      </c>
      <c r="CB63" t="s">
        <v>489</v>
      </c>
      <c r="CC63" t="s">
        <v>489</v>
      </c>
      <c r="CD63" t="s">
        <v>490</v>
      </c>
      <c r="CE63" t="s">
        <v>490</v>
      </c>
      <c r="CF63" t="s">
        <v>490</v>
      </c>
      <c r="CG63" t="s">
        <v>489</v>
      </c>
      <c r="CH63" t="s">
        <v>490</v>
      </c>
      <c r="CI63" t="s">
        <v>490</v>
      </c>
      <c r="CJ63" t="s">
        <v>489</v>
      </c>
      <c r="CK63" t="s">
        <v>489</v>
      </c>
      <c r="CL63" t="s">
        <v>489</v>
      </c>
      <c r="CM63" t="s">
        <v>490</v>
      </c>
      <c r="CN63" t="s">
        <v>489</v>
      </c>
      <c r="CO63" t="s">
        <v>489</v>
      </c>
      <c r="CP63" t="s">
        <v>490</v>
      </c>
      <c r="CW63" t="s">
        <v>490</v>
      </c>
      <c r="CX63" t="s">
        <v>490</v>
      </c>
      <c r="CY63" t="s">
        <v>489</v>
      </c>
      <c r="CZ63" t="s">
        <v>490</v>
      </c>
      <c r="DA63" t="s">
        <v>490</v>
      </c>
      <c r="DB63" t="s">
        <v>489</v>
      </c>
      <c r="DC63" t="s">
        <v>490</v>
      </c>
      <c r="DD63" t="s">
        <v>490</v>
      </c>
      <c r="DE63" t="s">
        <v>489</v>
      </c>
      <c r="DF63" t="s">
        <v>489</v>
      </c>
      <c r="DG63" t="s">
        <v>490</v>
      </c>
      <c r="DH63" t="s">
        <v>490</v>
      </c>
      <c r="EA63" t="s">
        <v>490</v>
      </c>
      <c r="EB63" t="s">
        <v>489</v>
      </c>
      <c r="EC63" t="s">
        <v>490</v>
      </c>
      <c r="ED63" t="s">
        <v>490</v>
      </c>
      <c r="EE63" t="s">
        <v>490</v>
      </c>
      <c r="EF63" t="s">
        <v>489</v>
      </c>
      <c r="EG63" t="s">
        <v>490</v>
      </c>
      <c r="EH63" t="s">
        <v>490</v>
      </c>
      <c r="EI63" t="s">
        <v>489</v>
      </c>
      <c r="EJ63" t="s">
        <v>490</v>
      </c>
      <c r="EK63" t="s">
        <v>490</v>
      </c>
      <c r="EL63" t="s">
        <v>489</v>
      </c>
      <c r="EM63" t="s">
        <v>490</v>
      </c>
      <c r="EN63" t="s">
        <v>490</v>
      </c>
      <c r="EO63" t="s">
        <v>489</v>
      </c>
      <c r="EP63" t="s">
        <v>490</v>
      </c>
      <c r="EQ63" t="s">
        <v>490</v>
      </c>
      <c r="ER63" t="s">
        <v>489</v>
      </c>
      <c r="ES63" t="s">
        <v>490</v>
      </c>
      <c r="ET63" t="s">
        <v>490</v>
      </c>
      <c r="EU63" t="s">
        <v>489</v>
      </c>
      <c r="EV63" t="s">
        <v>490</v>
      </c>
      <c r="EW63" t="s">
        <v>490</v>
      </c>
      <c r="EX63" t="s">
        <v>489</v>
      </c>
      <c r="EY63">
        <v>90</v>
      </c>
      <c r="EZ63">
        <v>90</v>
      </c>
      <c r="FA63">
        <v>10</v>
      </c>
      <c r="FB63" t="s">
        <v>543</v>
      </c>
      <c r="OH63" s="15">
        <v>8</v>
      </c>
      <c r="OI63" s="15">
        <v>8</v>
      </c>
      <c r="OJ63" s="15">
        <v>8</v>
      </c>
      <c r="OK63" s="15">
        <v>3</v>
      </c>
      <c r="OL63" s="15">
        <v>3</v>
      </c>
      <c r="OM63" s="15">
        <v>7</v>
      </c>
      <c r="ON63" s="15">
        <v>7</v>
      </c>
      <c r="OO63" s="15">
        <v>1</v>
      </c>
      <c r="OQ63" t="s">
        <v>488</v>
      </c>
      <c r="OR63" t="s">
        <v>488</v>
      </c>
      <c r="PJ63">
        <v>100</v>
      </c>
      <c r="PO63">
        <v>10</v>
      </c>
      <c r="PT63" t="s">
        <v>488</v>
      </c>
      <c r="PU63" t="s">
        <v>497</v>
      </c>
      <c r="PV63">
        <v>15000</v>
      </c>
      <c r="PW63">
        <v>0</v>
      </c>
      <c r="PX63">
        <v>15000</v>
      </c>
      <c r="PY63" t="s">
        <v>493</v>
      </c>
      <c r="PZ63" t="s">
        <v>493</v>
      </c>
      <c r="QA63">
        <v>10</v>
      </c>
      <c r="QB63">
        <v>90</v>
      </c>
      <c r="QC63">
        <v>100</v>
      </c>
      <c r="QD63">
        <v>0</v>
      </c>
      <c r="QE63" t="s">
        <v>508</v>
      </c>
      <c r="QZ63">
        <v>1.2</v>
      </c>
      <c r="RA63">
        <v>3</v>
      </c>
      <c r="RB63" t="s">
        <v>489</v>
      </c>
      <c r="RC63" t="s">
        <v>490</v>
      </c>
      <c r="RD63" t="s">
        <v>490</v>
      </c>
      <c r="RE63" t="s">
        <v>490</v>
      </c>
      <c r="RF63" t="s">
        <v>489</v>
      </c>
      <c r="RG63" t="s">
        <v>490</v>
      </c>
      <c r="RH63" t="s">
        <v>490</v>
      </c>
      <c r="RI63" t="s">
        <v>490</v>
      </c>
    </row>
    <row r="64" spans="1:486">
      <c r="A64">
        <v>12075</v>
      </c>
      <c r="B64" t="s">
        <v>503</v>
      </c>
      <c r="C64" t="s">
        <v>972</v>
      </c>
      <c r="D64" t="s">
        <v>504</v>
      </c>
      <c r="E64" t="s">
        <v>500</v>
      </c>
      <c r="F64" t="s">
        <v>505</v>
      </c>
      <c r="G64">
        <v>19</v>
      </c>
      <c r="H64" t="s">
        <v>487</v>
      </c>
      <c r="I64" t="s">
        <v>487</v>
      </c>
      <c r="J64" t="s">
        <v>487</v>
      </c>
      <c r="K64" t="s">
        <v>488</v>
      </c>
      <c r="L64" t="s">
        <v>490</v>
      </c>
      <c r="M64" t="s">
        <v>490</v>
      </c>
      <c r="N64" t="s">
        <v>489</v>
      </c>
      <c r="O64" t="s">
        <v>490</v>
      </c>
      <c r="P64" t="s">
        <v>490</v>
      </c>
      <c r="Q64" t="s">
        <v>490</v>
      </c>
      <c r="R64" t="s">
        <v>490</v>
      </c>
      <c r="S64" t="s">
        <v>490</v>
      </c>
      <c r="BV64" t="s">
        <v>490</v>
      </c>
      <c r="BW64" t="s">
        <v>490</v>
      </c>
      <c r="BX64" t="s">
        <v>489</v>
      </c>
      <c r="BY64" t="s">
        <v>489</v>
      </c>
      <c r="BZ64" t="s">
        <v>489</v>
      </c>
      <c r="CA64" t="s">
        <v>490</v>
      </c>
      <c r="EY64">
        <v>90</v>
      </c>
      <c r="EZ64">
        <v>90</v>
      </c>
      <c r="FA64">
        <v>10</v>
      </c>
      <c r="FB64" t="s">
        <v>543</v>
      </c>
      <c r="OH64" s="15">
        <v>8</v>
      </c>
      <c r="OI64" s="15">
        <v>5</v>
      </c>
      <c r="OJ64" s="15">
        <v>7</v>
      </c>
      <c r="OK64" s="15">
        <v>4</v>
      </c>
      <c r="OL64" s="15">
        <v>7</v>
      </c>
      <c r="OM64" s="15">
        <v>7</v>
      </c>
      <c r="ON64" s="15">
        <v>1</v>
      </c>
      <c r="OO64" s="15">
        <v>1</v>
      </c>
      <c r="OQ64" t="s">
        <v>488</v>
      </c>
      <c r="OR64" t="s">
        <v>488</v>
      </c>
      <c r="OY64">
        <v>90</v>
      </c>
      <c r="OZ64">
        <v>75</v>
      </c>
      <c r="PA64">
        <v>40</v>
      </c>
      <c r="PB64">
        <v>30</v>
      </c>
      <c r="PC64">
        <v>30</v>
      </c>
      <c r="PD64">
        <v>20</v>
      </c>
      <c r="PE64">
        <v>20</v>
      </c>
      <c r="PF64">
        <v>20</v>
      </c>
      <c r="PG64">
        <v>20</v>
      </c>
      <c r="PH64">
        <v>10</v>
      </c>
      <c r="PI64">
        <v>90</v>
      </c>
      <c r="PJ64">
        <v>75</v>
      </c>
      <c r="PK64">
        <v>40</v>
      </c>
      <c r="PL64">
        <v>30</v>
      </c>
      <c r="PM64">
        <v>30</v>
      </c>
      <c r="PN64">
        <v>20</v>
      </c>
      <c r="PO64">
        <v>20</v>
      </c>
      <c r="PP64">
        <v>20</v>
      </c>
      <c r="PQ64">
        <v>20</v>
      </c>
      <c r="PR64">
        <v>10</v>
      </c>
      <c r="PT64" t="s">
        <v>488</v>
      </c>
      <c r="PU64" t="s">
        <v>497</v>
      </c>
      <c r="PV64">
        <v>0</v>
      </c>
      <c r="PW64">
        <v>0</v>
      </c>
      <c r="PX64">
        <v>0</v>
      </c>
      <c r="PY64" t="s">
        <v>535</v>
      </c>
      <c r="PZ64" t="s">
        <v>535</v>
      </c>
      <c r="QA64">
        <v>50</v>
      </c>
      <c r="QB64">
        <v>50</v>
      </c>
      <c r="QC64">
        <v>80</v>
      </c>
      <c r="QD64">
        <v>20</v>
      </c>
      <c r="QE64" t="s">
        <v>508</v>
      </c>
      <c r="QZ64">
        <v>2</v>
      </c>
      <c r="RA64">
        <v>0</v>
      </c>
      <c r="RB64" t="s">
        <v>489</v>
      </c>
      <c r="RC64" t="s">
        <v>490</v>
      </c>
      <c r="RD64" t="s">
        <v>490</v>
      </c>
      <c r="RE64" t="s">
        <v>490</v>
      </c>
      <c r="RF64" t="s">
        <v>490</v>
      </c>
      <c r="RG64" t="s">
        <v>490</v>
      </c>
      <c r="RH64" t="s">
        <v>490</v>
      </c>
      <c r="RI64" t="s">
        <v>490</v>
      </c>
    </row>
    <row r="65" spans="1:486">
      <c r="A65">
        <v>1003527</v>
      </c>
      <c r="B65" t="s">
        <v>503</v>
      </c>
      <c r="C65" t="s">
        <v>972</v>
      </c>
      <c r="D65" t="s">
        <v>504</v>
      </c>
      <c r="E65" t="s">
        <v>500</v>
      </c>
      <c r="F65" t="s">
        <v>496</v>
      </c>
      <c r="G65">
        <v>65</v>
      </c>
      <c r="H65" t="s">
        <v>487</v>
      </c>
      <c r="I65" t="s">
        <v>487</v>
      </c>
      <c r="J65" t="s">
        <v>487</v>
      </c>
      <c r="K65" t="s">
        <v>487</v>
      </c>
      <c r="L65" t="s">
        <v>489</v>
      </c>
      <c r="M65" t="s">
        <v>489</v>
      </c>
      <c r="N65" t="s">
        <v>489</v>
      </c>
      <c r="O65" t="s">
        <v>489</v>
      </c>
      <c r="P65" t="s">
        <v>489</v>
      </c>
      <c r="Q65" t="s">
        <v>489</v>
      </c>
      <c r="R65" t="s">
        <v>489</v>
      </c>
      <c r="S65" t="s">
        <v>489</v>
      </c>
      <c r="T65" t="s">
        <v>489</v>
      </c>
      <c r="U65" t="s">
        <v>490</v>
      </c>
      <c r="V65" t="s">
        <v>490</v>
      </c>
      <c r="W65" t="s">
        <v>489</v>
      </c>
      <c r="X65" t="s">
        <v>490</v>
      </c>
      <c r="Y65" t="s">
        <v>490</v>
      </c>
      <c r="Z65" t="s">
        <v>490</v>
      </c>
      <c r="AA65" t="s">
        <v>490</v>
      </c>
      <c r="AB65" t="s">
        <v>489</v>
      </c>
      <c r="AC65" t="s">
        <v>490</v>
      </c>
      <c r="AD65" t="s">
        <v>490</v>
      </c>
      <c r="AE65" t="s">
        <v>489</v>
      </c>
      <c r="AF65" t="s">
        <v>490</v>
      </c>
      <c r="AG65" t="s">
        <v>490</v>
      </c>
      <c r="AH65" t="s">
        <v>489</v>
      </c>
      <c r="AI65" t="s">
        <v>490</v>
      </c>
      <c r="AJ65" t="s">
        <v>490</v>
      </c>
      <c r="AK65" t="s">
        <v>489</v>
      </c>
      <c r="AL65" t="s">
        <v>490</v>
      </c>
      <c r="AM65" t="s">
        <v>490</v>
      </c>
      <c r="AN65" t="s">
        <v>489</v>
      </c>
      <c r="AO65" t="s">
        <v>490</v>
      </c>
      <c r="AP65" t="s">
        <v>490</v>
      </c>
      <c r="AQ65" t="s">
        <v>489</v>
      </c>
      <c r="AR65" t="s">
        <v>490</v>
      </c>
      <c r="AS65" t="s">
        <v>490</v>
      </c>
      <c r="AT65" t="s">
        <v>489</v>
      </c>
      <c r="AU65" t="s">
        <v>489</v>
      </c>
      <c r="AV65" t="s">
        <v>489</v>
      </c>
      <c r="AW65" t="s">
        <v>490</v>
      </c>
      <c r="AX65" t="s">
        <v>489</v>
      </c>
      <c r="AY65" t="s">
        <v>489</v>
      </c>
      <c r="AZ65" t="s">
        <v>490</v>
      </c>
      <c r="BA65" t="s">
        <v>489</v>
      </c>
      <c r="BB65" t="s">
        <v>489</v>
      </c>
      <c r="BC65" t="s">
        <v>490</v>
      </c>
      <c r="BD65" t="s">
        <v>489</v>
      </c>
      <c r="BE65" t="s">
        <v>489</v>
      </c>
      <c r="BF65" t="s">
        <v>490</v>
      </c>
      <c r="BG65" t="s">
        <v>489</v>
      </c>
      <c r="BH65" t="s">
        <v>489</v>
      </c>
      <c r="BI65" t="s">
        <v>490</v>
      </c>
      <c r="BJ65" t="s">
        <v>489</v>
      </c>
      <c r="BK65" t="s">
        <v>489</v>
      </c>
      <c r="BL65" t="s">
        <v>490</v>
      </c>
      <c r="BM65" t="s">
        <v>489</v>
      </c>
      <c r="BN65" t="s">
        <v>489</v>
      </c>
      <c r="BO65" t="s">
        <v>490</v>
      </c>
      <c r="BP65" t="s">
        <v>490</v>
      </c>
      <c r="BQ65" t="s">
        <v>490</v>
      </c>
      <c r="BR65" t="s">
        <v>489</v>
      </c>
      <c r="BS65" t="s">
        <v>489</v>
      </c>
      <c r="BT65" t="s">
        <v>489</v>
      </c>
      <c r="BU65" t="s">
        <v>490</v>
      </c>
      <c r="BV65" t="s">
        <v>489</v>
      </c>
      <c r="BW65" t="s">
        <v>489</v>
      </c>
      <c r="BX65" t="s">
        <v>490</v>
      </c>
      <c r="BY65" t="s">
        <v>489</v>
      </c>
      <c r="BZ65" t="s">
        <v>489</v>
      </c>
      <c r="CA65" t="s">
        <v>490</v>
      </c>
      <c r="CB65" t="s">
        <v>489</v>
      </c>
      <c r="CC65" t="s">
        <v>490</v>
      </c>
      <c r="CD65" t="s">
        <v>490</v>
      </c>
      <c r="CE65" t="s">
        <v>489</v>
      </c>
      <c r="CF65" t="s">
        <v>490</v>
      </c>
      <c r="CG65" t="s">
        <v>490</v>
      </c>
      <c r="CH65" t="s">
        <v>489</v>
      </c>
      <c r="CI65" t="s">
        <v>490</v>
      </c>
      <c r="CJ65" t="s">
        <v>490</v>
      </c>
      <c r="CK65" t="s">
        <v>489</v>
      </c>
      <c r="CL65" t="s">
        <v>490</v>
      </c>
      <c r="CM65" t="s">
        <v>490</v>
      </c>
      <c r="CN65" t="s">
        <v>489</v>
      </c>
      <c r="CO65" t="s">
        <v>490</v>
      </c>
      <c r="CP65" t="s">
        <v>490</v>
      </c>
      <c r="CQ65" t="s">
        <v>489</v>
      </c>
      <c r="CR65" t="s">
        <v>490</v>
      </c>
      <c r="CS65" t="s">
        <v>490</v>
      </c>
      <c r="CT65" t="s">
        <v>490</v>
      </c>
      <c r="CU65" t="s">
        <v>490</v>
      </c>
      <c r="CV65" t="s">
        <v>489</v>
      </c>
      <c r="CW65" t="s">
        <v>489</v>
      </c>
      <c r="CX65" t="s">
        <v>490</v>
      </c>
      <c r="CY65" t="s">
        <v>490</v>
      </c>
      <c r="CZ65" t="s">
        <v>489</v>
      </c>
      <c r="DA65" t="s">
        <v>490</v>
      </c>
      <c r="DB65" t="s">
        <v>490</v>
      </c>
      <c r="DC65" t="s">
        <v>490</v>
      </c>
      <c r="DD65" t="s">
        <v>490</v>
      </c>
      <c r="DE65" t="s">
        <v>489</v>
      </c>
      <c r="DF65" t="s">
        <v>490</v>
      </c>
      <c r="DG65" t="s">
        <v>490</v>
      </c>
      <c r="DH65" t="s">
        <v>489</v>
      </c>
      <c r="DI65" t="s">
        <v>490</v>
      </c>
      <c r="DJ65" t="s">
        <v>490</v>
      </c>
      <c r="DK65" t="s">
        <v>489</v>
      </c>
      <c r="DL65" t="s">
        <v>489</v>
      </c>
      <c r="DM65" t="s">
        <v>489</v>
      </c>
      <c r="DN65" t="s">
        <v>490</v>
      </c>
      <c r="DO65" t="s">
        <v>490</v>
      </c>
      <c r="DP65" t="s">
        <v>490</v>
      </c>
      <c r="DQ65" t="s">
        <v>489</v>
      </c>
      <c r="DR65" t="s">
        <v>489</v>
      </c>
      <c r="DS65" t="s">
        <v>490</v>
      </c>
      <c r="DT65" t="s">
        <v>490</v>
      </c>
      <c r="DU65" t="s">
        <v>489</v>
      </c>
      <c r="DV65" t="s">
        <v>489</v>
      </c>
      <c r="DW65" t="s">
        <v>490</v>
      </c>
      <c r="DX65" t="s">
        <v>489</v>
      </c>
      <c r="DY65" t="s">
        <v>489</v>
      </c>
      <c r="DZ65" t="s">
        <v>490</v>
      </c>
      <c r="EA65" t="s">
        <v>490</v>
      </c>
      <c r="EB65" t="s">
        <v>489</v>
      </c>
      <c r="EC65" t="s">
        <v>490</v>
      </c>
      <c r="ED65" t="s">
        <v>490</v>
      </c>
      <c r="EE65" t="s">
        <v>490</v>
      </c>
      <c r="EF65" t="s">
        <v>489</v>
      </c>
      <c r="EG65" t="s">
        <v>490</v>
      </c>
      <c r="EH65" t="s">
        <v>489</v>
      </c>
      <c r="EI65" t="s">
        <v>490</v>
      </c>
      <c r="EJ65" t="s">
        <v>490</v>
      </c>
      <c r="EK65" t="s">
        <v>490</v>
      </c>
      <c r="EL65" t="s">
        <v>489</v>
      </c>
      <c r="EM65" t="s">
        <v>490</v>
      </c>
      <c r="EN65" t="s">
        <v>490</v>
      </c>
      <c r="EO65" t="s">
        <v>489</v>
      </c>
      <c r="EP65" t="s">
        <v>490</v>
      </c>
      <c r="EQ65" t="s">
        <v>490</v>
      </c>
      <c r="ER65" t="s">
        <v>489</v>
      </c>
      <c r="ES65" t="s">
        <v>490</v>
      </c>
      <c r="ET65" t="s">
        <v>490</v>
      </c>
      <c r="EU65" t="s">
        <v>489</v>
      </c>
      <c r="EV65" t="s">
        <v>490</v>
      </c>
      <c r="EW65" t="s">
        <v>490</v>
      </c>
      <c r="EX65" t="s">
        <v>489</v>
      </c>
      <c r="EY65">
        <v>90</v>
      </c>
      <c r="EZ65">
        <v>30</v>
      </c>
      <c r="FA65">
        <v>70</v>
      </c>
      <c r="FB65" t="s">
        <v>491</v>
      </c>
      <c r="OH65" s="15">
        <v>10</v>
      </c>
      <c r="OI65" s="15">
        <v>1</v>
      </c>
      <c r="OJ65" s="15">
        <v>2</v>
      </c>
      <c r="OK65" s="15">
        <v>2</v>
      </c>
      <c r="OL65" s="15">
        <v>1</v>
      </c>
      <c r="OM65" s="15">
        <v>10</v>
      </c>
      <c r="ON65" s="15">
        <v>5</v>
      </c>
      <c r="OO65" s="15">
        <v>1</v>
      </c>
      <c r="OQ65" t="s">
        <v>519</v>
      </c>
      <c r="OR65" t="s">
        <v>488</v>
      </c>
      <c r="PT65" t="s">
        <v>487</v>
      </c>
      <c r="PU65" t="s">
        <v>519</v>
      </c>
    </row>
    <row r="66" spans="1:486">
      <c r="A66">
        <v>11734</v>
      </c>
      <c r="B66" t="s">
        <v>503</v>
      </c>
      <c r="C66" t="s">
        <v>972</v>
      </c>
      <c r="D66" t="s">
        <v>520</v>
      </c>
      <c r="E66" t="s">
        <v>500</v>
      </c>
      <c r="F66" t="s">
        <v>496</v>
      </c>
      <c r="G66">
        <v>17.899999999999999</v>
      </c>
      <c r="H66" t="s">
        <v>487</v>
      </c>
      <c r="I66" t="s">
        <v>487</v>
      </c>
      <c r="J66" t="s">
        <v>487</v>
      </c>
      <c r="K66" t="s">
        <v>488</v>
      </c>
      <c r="L66" t="s">
        <v>490</v>
      </c>
      <c r="M66" t="s">
        <v>490</v>
      </c>
      <c r="N66" t="s">
        <v>490</v>
      </c>
      <c r="O66" t="s">
        <v>489</v>
      </c>
      <c r="P66" t="s">
        <v>490</v>
      </c>
      <c r="Q66" t="s">
        <v>490</v>
      </c>
      <c r="R66" t="s">
        <v>490</v>
      </c>
      <c r="S66" t="s">
        <v>490</v>
      </c>
      <c r="CB66" t="s">
        <v>489</v>
      </c>
      <c r="CC66" t="s">
        <v>489</v>
      </c>
      <c r="CD66" t="s">
        <v>490</v>
      </c>
      <c r="CE66" t="s">
        <v>490</v>
      </c>
      <c r="CF66" t="s">
        <v>490</v>
      </c>
      <c r="CG66" t="s">
        <v>489</v>
      </c>
      <c r="CH66" t="s">
        <v>489</v>
      </c>
      <c r="CI66" t="s">
        <v>490</v>
      </c>
      <c r="CJ66" t="s">
        <v>490</v>
      </c>
      <c r="CK66" t="s">
        <v>490</v>
      </c>
      <c r="CL66" t="s">
        <v>490</v>
      </c>
      <c r="CM66" t="s">
        <v>489</v>
      </c>
      <c r="CN66" t="s">
        <v>490</v>
      </c>
      <c r="CO66" t="s">
        <v>490</v>
      </c>
      <c r="CP66" t="s">
        <v>489</v>
      </c>
      <c r="EY66">
        <v>99</v>
      </c>
      <c r="EZ66">
        <v>0</v>
      </c>
      <c r="FA66">
        <v>1</v>
      </c>
      <c r="FB66" t="s">
        <v>543</v>
      </c>
      <c r="OH66" s="15">
        <v>8</v>
      </c>
      <c r="OI66" s="15">
        <v>7</v>
      </c>
      <c r="OJ66" s="15">
        <v>8</v>
      </c>
      <c r="OK66" s="15">
        <v>7</v>
      </c>
      <c r="OL66" s="15">
        <v>7</v>
      </c>
      <c r="OM66" s="15">
        <v>9</v>
      </c>
      <c r="ON66" s="15">
        <v>7</v>
      </c>
      <c r="OO66" s="15">
        <v>5</v>
      </c>
      <c r="OQ66" t="s">
        <v>488</v>
      </c>
      <c r="OR66" t="s">
        <v>487</v>
      </c>
      <c r="OS66" t="s">
        <v>489</v>
      </c>
      <c r="OT66" t="s">
        <v>490</v>
      </c>
      <c r="OU66" t="s">
        <v>490</v>
      </c>
      <c r="OV66" t="s">
        <v>490</v>
      </c>
      <c r="OW66" t="s">
        <v>490</v>
      </c>
      <c r="OY66">
        <v>100</v>
      </c>
      <c r="OZ66">
        <v>0</v>
      </c>
      <c r="PA66">
        <v>0</v>
      </c>
      <c r="PB66">
        <v>0</v>
      </c>
      <c r="PC66">
        <v>0</v>
      </c>
      <c r="PD66">
        <v>0</v>
      </c>
      <c r="PE66">
        <v>99</v>
      </c>
      <c r="PF66">
        <v>0</v>
      </c>
      <c r="PG66">
        <v>0</v>
      </c>
      <c r="PH66">
        <v>0</v>
      </c>
      <c r="PI66">
        <v>100</v>
      </c>
      <c r="PJ66">
        <v>0</v>
      </c>
      <c r="PK66">
        <v>0</v>
      </c>
      <c r="PL66">
        <v>0</v>
      </c>
      <c r="PM66">
        <v>0</v>
      </c>
      <c r="PN66">
        <v>0</v>
      </c>
      <c r="PO66">
        <v>99</v>
      </c>
      <c r="PP66">
        <v>0</v>
      </c>
      <c r="PQ66">
        <v>0</v>
      </c>
      <c r="PR66">
        <v>0</v>
      </c>
      <c r="PT66" t="s">
        <v>488</v>
      </c>
      <c r="PU66" t="s">
        <v>497</v>
      </c>
      <c r="PV66">
        <v>30000</v>
      </c>
      <c r="PW66">
        <v>0</v>
      </c>
      <c r="PX66">
        <v>30000</v>
      </c>
      <c r="PY66" t="s">
        <v>493</v>
      </c>
      <c r="PZ66" t="s">
        <v>493</v>
      </c>
      <c r="QA66">
        <v>0</v>
      </c>
      <c r="QB66">
        <v>100</v>
      </c>
      <c r="QC66">
        <v>100</v>
      </c>
      <c r="QD66">
        <v>0</v>
      </c>
      <c r="QE66" t="s">
        <v>508</v>
      </c>
      <c r="QZ66">
        <v>0.66</v>
      </c>
      <c r="RA66">
        <v>0</v>
      </c>
      <c r="RB66" t="s">
        <v>489</v>
      </c>
      <c r="RC66" t="s">
        <v>490</v>
      </c>
      <c r="RD66" t="s">
        <v>490</v>
      </c>
      <c r="RE66" t="s">
        <v>490</v>
      </c>
      <c r="RF66" t="s">
        <v>490</v>
      </c>
      <c r="RG66" t="s">
        <v>490</v>
      </c>
      <c r="RH66" t="s">
        <v>490</v>
      </c>
      <c r="RI66" t="s">
        <v>490</v>
      </c>
      <c r="RL66" t="s">
        <v>559</v>
      </c>
    </row>
    <row r="67" spans="1:486">
      <c r="A67">
        <v>11915</v>
      </c>
      <c r="B67" t="s">
        <v>503</v>
      </c>
      <c r="C67" t="s">
        <v>972</v>
      </c>
      <c r="D67" t="s">
        <v>520</v>
      </c>
      <c r="E67" t="s">
        <v>500</v>
      </c>
      <c r="F67" t="s">
        <v>486</v>
      </c>
      <c r="G67">
        <v>62</v>
      </c>
      <c r="H67" t="s">
        <v>487</v>
      </c>
      <c r="I67" t="s">
        <v>487</v>
      </c>
      <c r="J67" t="s">
        <v>487</v>
      </c>
      <c r="K67" t="s">
        <v>488</v>
      </c>
      <c r="L67" t="s">
        <v>489</v>
      </c>
      <c r="M67" t="s">
        <v>489</v>
      </c>
      <c r="N67" t="s">
        <v>489</v>
      </c>
      <c r="O67" t="s">
        <v>489</v>
      </c>
      <c r="P67" t="s">
        <v>489</v>
      </c>
      <c r="Q67" t="s">
        <v>490</v>
      </c>
      <c r="R67" t="s">
        <v>489</v>
      </c>
      <c r="S67" t="s">
        <v>489</v>
      </c>
      <c r="T67" t="s">
        <v>489</v>
      </c>
      <c r="U67" t="s">
        <v>490</v>
      </c>
      <c r="V67" t="s">
        <v>490</v>
      </c>
      <c r="W67" t="s">
        <v>489</v>
      </c>
      <c r="X67" t="s">
        <v>490</v>
      </c>
      <c r="Y67" t="s">
        <v>490</v>
      </c>
      <c r="Z67" t="s">
        <v>490</v>
      </c>
      <c r="AA67" t="s">
        <v>490</v>
      </c>
      <c r="AB67" t="s">
        <v>489</v>
      </c>
      <c r="AC67" t="s">
        <v>490</v>
      </c>
      <c r="AD67" t="s">
        <v>490</v>
      </c>
      <c r="AE67" t="s">
        <v>489</v>
      </c>
      <c r="AF67" t="s">
        <v>489</v>
      </c>
      <c r="AG67" t="s">
        <v>490</v>
      </c>
      <c r="AH67" t="s">
        <v>490</v>
      </c>
      <c r="AI67" t="s">
        <v>489</v>
      </c>
      <c r="AJ67" t="s">
        <v>490</v>
      </c>
      <c r="AK67" t="s">
        <v>490</v>
      </c>
      <c r="AL67" t="s">
        <v>490</v>
      </c>
      <c r="AM67" t="s">
        <v>490</v>
      </c>
      <c r="AN67" t="s">
        <v>489</v>
      </c>
      <c r="AO67" t="s">
        <v>489</v>
      </c>
      <c r="AP67" t="s">
        <v>490</v>
      </c>
      <c r="AQ67" t="s">
        <v>490</v>
      </c>
      <c r="AR67" t="s">
        <v>489</v>
      </c>
      <c r="AS67" t="s">
        <v>490</v>
      </c>
      <c r="AT67" t="s">
        <v>490</v>
      </c>
      <c r="AU67" t="s">
        <v>490</v>
      </c>
      <c r="AV67" t="s">
        <v>490</v>
      </c>
      <c r="AW67" t="s">
        <v>489</v>
      </c>
      <c r="AX67" t="s">
        <v>490</v>
      </c>
      <c r="AY67" t="s">
        <v>489</v>
      </c>
      <c r="AZ67" t="s">
        <v>490</v>
      </c>
      <c r="BA67" t="s">
        <v>490</v>
      </c>
      <c r="BB67" t="s">
        <v>489</v>
      </c>
      <c r="BC67" t="s">
        <v>490</v>
      </c>
      <c r="BD67" t="s">
        <v>490</v>
      </c>
      <c r="BE67" t="s">
        <v>489</v>
      </c>
      <c r="BF67" t="s">
        <v>490</v>
      </c>
      <c r="BG67" t="s">
        <v>490</v>
      </c>
      <c r="BH67" t="s">
        <v>489</v>
      </c>
      <c r="BI67" t="s">
        <v>490</v>
      </c>
      <c r="BJ67" t="s">
        <v>490</v>
      </c>
      <c r="BK67" t="s">
        <v>489</v>
      </c>
      <c r="BL67" t="s">
        <v>490</v>
      </c>
      <c r="BM67" t="s">
        <v>490</v>
      </c>
      <c r="BN67" t="s">
        <v>489</v>
      </c>
      <c r="BO67" t="s">
        <v>490</v>
      </c>
      <c r="BP67" t="s">
        <v>490</v>
      </c>
      <c r="BQ67" t="s">
        <v>490</v>
      </c>
      <c r="BR67" t="s">
        <v>489</v>
      </c>
      <c r="BS67" t="s">
        <v>490</v>
      </c>
      <c r="BT67" t="s">
        <v>490</v>
      </c>
      <c r="BU67" t="s">
        <v>489</v>
      </c>
      <c r="BV67" t="s">
        <v>490</v>
      </c>
      <c r="BW67" t="s">
        <v>490</v>
      </c>
      <c r="BX67" t="s">
        <v>489</v>
      </c>
      <c r="BY67" t="s">
        <v>489</v>
      </c>
      <c r="BZ67" t="s">
        <v>489</v>
      </c>
      <c r="CA67" t="s">
        <v>490</v>
      </c>
      <c r="CB67" t="s">
        <v>489</v>
      </c>
      <c r="CC67" t="s">
        <v>489</v>
      </c>
      <c r="CD67" t="s">
        <v>490</v>
      </c>
      <c r="CE67" t="s">
        <v>489</v>
      </c>
      <c r="CF67" t="s">
        <v>489</v>
      </c>
      <c r="CG67" t="s">
        <v>490</v>
      </c>
      <c r="CH67" t="s">
        <v>489</v>
      </c>
      <c r="CI67" t="s">
        <v>489</v>
      </c>
      <c r="CJ67" t="s">
        <v>490</v>
      </c>
      <c r="CK67" t="s">
        <v>489</v>
      </c>
      <c r="CL67" t="s">
        <v>489</v>
      </c>
      <c r="CM67" t="s">
        <v>490</v>
      </c>
      <c r="CN67" t="s">
        <v>489</v>
      </c>
      <c r="CO67" t="s">
        <v>489</v>
      </c>
      <c r="CP67" t="s">
        <v>490</v>
      </c>
      <c r="CQ67" t="s">
        <v>489</v>
      </c>
      <c r="CR67" t="s">
        <v>489</v>
      </c>
      <c r="CS67" t="s">
        <v>490</v>
      </c>
      <c r="CT67" t="s">
        <v>489</v>
      </c>
      <c r="CU67" t="s">
        <v>489</v>
      </c>
      <c r="CV67" t="s">
        <v>490</v>
      </c>
      <c r="DI67" t="s">
        <v>489</v>
      </c>
      <c r="DJ67" t="s">
        <v>490</v>
      </c>
      <c r="DK67" t="s">
        <v>490</v>
      </c>
      <c r="DL67" t="s">
        <v>489</v>
      </c>
      <c r="DM67" t="s">
        <v>490</v>
      </c>
      <c r="DN67" t="s">
        <v>490</v>
      </c>
      <c r="DO67" t="s">
        <v>490</v>
      </c>
      <c r="DP67" t="s">
        <v>490</v>
      </c>
      <c r="DQ67" t="s">
        <v>489</v>
      </c>
      <c r="DR67" t="s">
        <v>489</v>
      </c>
      <c r="DS67" t="s">
        <v>489</v>
      </c>
      <c r="DT67" t="s">
        <v>490</v>
      </c>
      <c r="DU67" t="s">
        <v>489</v>
      </c>
      <c r="DV67" t="s">
        <v>489</v>
      </c>
      <c r="DW67" t="s">
        <v>490</v>
      </c>
      <c r="DX67" t="s">
        <v>490</v>
      </c>
      <c r="DY67" t="s">
        <v>490</v>
      </c>
      <c r="DZ67" t="s">
        <v>489</v>
      </c>
      <c r="EA67" t="s">
        <v>490</v>
      </c>
      <c r="EB67" t="s">
        <v>489</v>
      </c>
      <c r="EC67" t="s">
        <v>490</v>
      </c>
      <c r="ED67" t="s">
        <v>490</v>
      </c>
      <c r="EE67" t="s">
        <v>489</v>
      </c>
      <c r="EF67" t="s">
        <v>490</v>
      </c>
      <c r="EG67" t="s">
        <v>490</v>
      </c>
      <c r="EH67" t="s">
        <v>490</v>
      </c>
      <c r="EI67" t="s">
        <v>489</v>
      </c>
      <c r="EJ67" t="s">
        <v>490</v>
      </c>
      <c r="EK67" t="s">
        <v>490</v>
      </c>
      <c r="EL67" t="s">
        <v>489</v>
      </c>
      <c r="EM67" t="s">
        <v>490</v>
      </c>
      <c r="EN67" t="s">
        <v>490</v>
      </c>
      <c r="EO67" t="s">
        <v>489</v>
      </c>
      <c r="EP67" t="s">
        <v>490</v>
      </c>
      <c r="EQ67" t="s">
        <v>490</v>
      </c>
      <c r="ER67" t="s">
        <v>489</v>
      </c>
      <c r="ES67" t="s">
        <v>490</v>
      </c>
      <c r="ET67" t="s">
        <v>489</v>
      </c>
      <c r="EU67" t="s">
        <v>490</v>
      </c>
      <c r="EV67" t="s">
        <v>490</v>
      </c>
      <c r="EW67" t="s">
        <v>489</v>
      </c>
      <c r="EX67" t="s">
        <v>490</v>
      </c>
      <c r="EY67">
        <v>40</v>
      </c>
      <c r="EZ67">
        <v>40</v>
      </c>
      <c r="FA67">
        <v>60</v>
      </c>
      <c r="FB67" t="s">
        <v>543</v>
      </c>
      <c r="OH67" s="15">
        <v>9</v>
      </c>
      <c r="OI67" s="15">
        <v>6</v>
      </c>
      <c r="OJ67" s="15">
        <v>8</v>
      </c>
      <c r="OK67" s="15">
        <v>6</v>
      </c>
      <c r="OL67" s="15">
        <v>8</v>
      </c>
      <c r="OM67" s="15">
        <v>8</v>
      </c>
      <c r="ON67" s="15">
        <v>3</v>
      </c>
      <c r="OO67" s="15">
        <v>1</v>
      </c>
      <c r="OQ67" t="s">
        <v>487</v>
      </c>
      <c r="OR67" t="s">
        <v>487</v>
      </c>
      <c r="OS67" t="s">
        <v>489</v>
      </c>
      <c r="OT67" t="s">
        <v>490</v>
      </c>
      <c r="OU67" t="s">
        <v>490</v>
      </c>
      <c r="OV67" t="s">
        <v>490</v>
      </c>
      <c r="OW67" t="s">
        <v>490</v>
      </c>
      <c r="OY67">
        <v>100</v>
      </c>
      <c r="OZ67">
        <v>40</v>
      </c>
      <c r="PA67">
        <v>40</v>
      </c>
      <c r="PB67">
        <v>40</v>
      </c>
      <c r="PC67">
        <v>5</v>
      </c>
      <c r="PD67">
        <v>0</v>
      </c>
      <c r="PE67">
        <v>0</v>
      </c>
      <c r="PF67">
        <v>0</v>
      </c>
      <c r="PG67">
        <v>0</v>
      </c>
      <c r="PH67">
        <v>0</v>
      </c>
      <c r="PI67">
        <v>60</v>
      </c>
      <c r="PJ67">
        <v>60</v>
      </c>
      <c r="PK67">
        <v>60</v>
      </c>
      <c r="PL67">
        <v>60</v>
      </c>
      <c r="PM67">
        <v>10</v>
      </c>
      <c r="PN67">
        <v>2</v>
      </c>
      <c r="PO67">
        <v>1</v>
      </c>
      <c r="PP67">
        <v>60</v>
      </c>
      <c r="PQ67">
        <v>0</v>
      </c>
      <c r="PR67">
        <v>0</v>
      </c>
      <c r="PT67" t="s">
        <v>488</v>
      </c>
      <c r="PU67" t="s">
        <v>497</v>
      </c>
      <c r="PV67">
        <v>220000</v>
      </c>
      <c r="PW67">
        <v>70000</v>
      </c>
      <c r="PX67">
        <v>290000</v>
      </c>
      <c r="PY67" t="s">
        <v>493</v>
      </c>
      <c r="PZ67" t="s">
        <v>493</v>
      </c>
      <c r="QA67">
        <v>50</v>
      </c>
      <c r="QB67">
        <v>50</v>
      </c>
      <c r="QC67">
        <v>85</v>
      </c>
      <c r="QD67">
        <v>15</v>
      </c>
      <c r="QE67" t="s">
        <v>494</v>
      </c>
      <c r="QF67">
        <v>10</v>
      </c>
      <c r="QG67">
        <v>0</v>
      </c>
      <c r="QH67">
        <v>0</v>
      </c>
      <c r="QI67">
        <v>2</v>
      </c>
      <c r="QJ67">
        <v>23</v>
      </c>
      <c r="QK67">
        <v>0</v>
      </c>
      <c r="QL67">
        <v>30</v>
      </c>
      <c r="QM67">
        <v>20</v>
      </c>
      <c r="QN67">
        <v>15</v>
      </c>
      <c r="QP67">
        <v>10</v>
      </c>
      <c r="QQ67">
        <v>20</v>
      </c>
      <c r="QR67">
        <v>5</v>
      </c>
      <c r="QS67">
        <v>10</v>
      </c>
      <c r="QT67">
        <v>10</v>
      </c>
      <c r="QU67">
        <v>5</v>
      </c>
      <c r="QV67">
        <v>5</v>
      </c>
      <c r="QW67">
        <v>35</v>
      </c>
      <c r="QX67">
        <v>0</v>
      </c>
      <c r="QZ67">
        <v>4</v>
      </c>
      <c r="RA67">
        <v>5</v>
      </c>
      <c r="RB67" t="s">
        <v>489</v>
      </c>
      <c r="RC67" t="s">
        <v>490</v>
      </c>
      <c r="RD67" t="s">
        <v>489</v>
      </c>
      <c r="RE67" t="s">
        <v>490</v>
      </c>
      <c r="RF67" t="s">
        <v>489</v>
      </c>
      <c r="RG67" t="s">
        <v>489</v>
      </c>
      <c r="RH67" t="s">
        <v>490</v>
      </c>
      <c r="RI67" t="s">
        <v>490</v>
      </c>
      <c r="RN67" t="s">
        <v>563</v>
      </c>
    </row>
    <row r="68" spans="1:486">
      <c r="A68">
        <v>11621</v>
      </c>
      <c r="B68" t="s">
        <v>503</v>
      </c>
      <c r="C68" t="s">
        <v>972</v>
      </c>
      <c r="D68" t="s">
        <v>520</v>
      </c>
      <c r="E68" t="s">
        <v>500</v>
      </c>
      <c r="F68" t="s">
        <v>496</v>
      </c>
      <c r="G68">
        <v>32.9</v>
      </c>
      <c r="H68" t="s">
        <v>487</v>
      </c>
      <c r="I68" t="s">
        <v>488</v>
      </c>
      <c r="J68" t="s">
        <v>487</v>
      </c>
      <c r="K68" t="s">
        <v>488</v>
      </c>
      <c r="L68" t="s">
        <v>489</v>
      </c>
      <c r="M68" t="s">
        <v>489</v>
      </c>
      <c r="N68" t="s">
        <v>490</v>
      </c>
      <c r="O68" t="s">
        <v>489</v>
      </c>
      <c r="P68" t="s">
        <v>490</v>
      </c>
      <c r="Q68" t="s">
        <v>490</v>
      </c>
      <c r="R68" t="s">
        <v>490</v>
      </c>
      <c r="S68" t="s">
        <v>489</v>
      </c>
      <c r="T68" t="s">
        <v>489</v>
      </c>
      <c r="U68" t="s">
        <v>490</v>
      </c>
      <c r="V68" t="s">
        <v>490</v>
      </c>
      <c r="W68" t="s">
        <v>489</v>
      </c>
      <c r="X68" t="s">
        <v>490</v>
      </c>
      <c r="Y68" t="s">
        <v>490</v>
      </c>
      <c r="Z68" t="s">
        <v>490</v>
      </c>
      <c r="AA68" t="s">
        <v>490</v>
      </c>
      <c r="AB68" t="s">
        <v>489</v>
      </c>
      <c r="AC68" t="s">
        <v>490</v>
      </c>
      <c r="AD68" t="s">
        <v>490</v>
      </c>
      <c r="AE68" t="s">
        <v>489</v>
      </c>
      <c r="AF68" t="s">
        <v>490</v>
      </c>
      <c r="AG68" t="s">
        <v>490</v>
      </c>
      <c r="AH68" t="s">
        <v>489</v>
      </c>
      <c r="AI68" t="s">
        <v>490</v>
      </c>
      <c r="AJ68" t="s">
        <v>490</v>
      </c>
      <c r="AK68" t="s">
        <v>489</v>
      </c>
      <c r="AL68" t="s">
        <v>490</v>
      </c>
      <c r="AM68" t="s">
        <v>490</v>
      </c>
      <c r="AN68" t="s">
        <v>489</v>
      </c>
      <c r="AO68" t="s">
        <v>489</v>
      </c>
      <c r="AP68" t="s">
        <v>490</v>
      </c>
      <c r="AQ68" t="s">
        <v>490</v>
      </c>
      <c r="AR68" t="s">
        <v>490</v>
      </c>
      <c r="AS68" t="s">
        <v>490</v>
      </c>
      <c r="AT68" t="s">
        <v>489</v>
      </c>
      <c r="AU68" t="s">
        <v>490</v>
      </c>
      <c r="AV68" t="s">
        <v>490</v>
      </c>
      <c r="AW68" t="s">
        <v>489</v>
      </c>
      <c r="AX68" t="s">
        <v>489</v>
      </c>
      <c r="AY68" t="s">
        <v>490</v>
      </c>
      <c r="AZ68" t="s">
        <v>490</v>
      </c>
      <c r="BA68" t="s">
        <v>489</v>
      </c>
      <c r="BB68" t="s">
        <v>490</v>
      </c>
      <c r="BC68" t="s">
        <v>490</v>
      </c>
      <c r="BD68" t="s">
        <v>489</v>
      </c>
      <c r="BE68" t="s">
        <v>490</v>
      </c>
      <c r="BF68" t="s">
        <v>490</v>
      </c>
      <c r="BG68" t="s">
        <v>489</v>
      </c>
      <c r="BH68" t="s">
        <v>490</v>
      </c>
      <c r="BI68" t="s">
        <v>490</v>
      </c>
      <c r="BJ68" t="s">
        <v>489</v>
      </c>
      <c r="BK68" t="s">
        <v>490</v>
      </c>
      <c r="BL68" t="s">
        <v>490</v>
      </c>
      <c r="BM68" t="s">
        <v>489</v>
      </c>
      <c r="BN68" t="s">
        <v>490</v>
      </c>
      <c r="BO68" t="s">
        <v>490</v>
      </c>
      <c r="BP68" t="s">
        <v>490</v>
      </c>
      <c r="BQ68" t="s">
        <v>490</v>
      </c>
      <c r="BR68" t="s">
        <v>489</v>
      </c>
      <c r="BS68" t="s">
        <v>490</v>
      </c>
      <c r="BT68" t="s">
        <v>490</v>
      </c>
      <c r="BU68" t="s">
        <v>489</v>
      </c>
      <c r="CB68" t="s">
        <v>489</v>
      </c>
      <c r="CC68" t="s">
        <v>490</v>
      </c>
      <c r="CD68" t="s">
        <v>490</v>
      </c>
      <c r="CE68" t="s">
        <v>489</v>
      </c>
      <c r="CF68" t="s">
        <v>490</v>
      </c>
      <c r="CG68" t="s">
        <v>490</v>
      </c>
      <c r="CH68" t="s">
        <v>489</v>
      </c>
      <c r="CI68" t="s">
        <v>490</v>
      </c>
      <c r="CJ68" t="s">
        <v>490</v>
      </c>
      <c r="CK68" t="s">
        <v>489</v>
      </c>
      <c r="CL68" t="s">
        <v>490</v>
      </c>
      <c r="CM68" t="s">
        <v>490</v>
      </c>
      <c r="CN68" t="s">
        <v>489</v>
      </c>
      <c r="CO68" t="s">
        <v>490</v>
      </c>
      <c r="CP68" t="s">
        <v>490</v>
      </c>
      <c r="EA68" t="s">
        <v>490</v>
      </c>
      <c r="EB68" t="s">
        <v>489</v>
      </c>
      <c r="EC68" t="s">
        <v>490</v>
      </c>
      <c r="ED68" t="s">
        <v>490</v>
      </c>
      <c r="EE68" t="s">
        <v>490</v>
      </c>
      <c r="EF68" t="s">
        <v>489</v>
      </c>
      <c r="EG68" t="s">
        <v>490</v>
      </c>
      <c r="EH68" t="s">
        <v>490</v>
      </c>
      <c r="EI68" t="s">
        <v>489</v>
      </c>
      <c r="EJ68" t="s">
        <v>490</v>
      </c>
      <c r="EK68" t="s">
        <v>490</v>
      </c>
      <c r="EL68" t="s">
        <v>489</v>
      </c>
      <c r="EM68" t="s">
        <v>490</v>
      </c>
      <c r="EN68" t="s">
        <v>490</v>
      </c>
      <c r="EO68" t="s">
        <v>489</v>
      </c>
      <c r="EP68" t="s">
        <v>490</v>
      </c>
      <c r="EQ68" t="s">
        <v>490</v>
      </c>
      <c r="ER68" t="s">
        <v>489</v>
      </c>
      <c r="ES68" t="s">
        <v>490</v>
      </c>
      <c r="ET68" t="s">
        <v>489</v>
      </c>
      <c r="EU68" t="s">
        <v>490</v>
      </c>
      <c r="EV68" t="s">
        <v>490</v>
      </c>
      <c r="EW68" t="s">
        <v>490</v>
      </c>
      <c r="EX68" t="s">
        <v>489</v>
      </c>
      <c r="EY68">
        <v>80</v>
      </c>
      <c r="EZ68">
        <v>80</v>
      </c>
      <c r="FA68">
        <v>20</v>
      </c>
      <c r="FB68" t="s">
        <v>491</v>
      </c>
      <c r="HO68">
        <v>46000</v>
      </c>
      <c r="HW68">
        <v>50000</v>
      </c>
      <c r="IU68">
        <v>90</v>
      </c>
      <c r="IV68">
        <v>10</v>
      </c>
      <c r="IW68">
        <v>0</v>
      </c>
      <c r="KE68">
        <v>80000</v>
      </c>
      <c r="KF68">
        <v>10000</v>
      </c>
      <c r="KG68">
        <v>10000</v>
      </c>
      <c r="KJ68">
        <v>80000</v>
      </c>
      <c r="KK68">
        <v>10000</v>
      </c>
      <c r="KL68">
        <v>10000</v>
      </c>
      <c r="KM68">
        <v>18000</v>
      </c>
      <c r="MZ68">
        <v>100000</v>
      </c>
      <c r="NG68">
        <v>60000</v>
      </c>
      <c r="OH68" s="15">
        <v>0</v>
      </c>
      <c r="OI68" s="15">
        <v>0</v>
      </c>
      <c r="OJ68" s="15">
        <v>0</v>
      </c>
      <c r="OK68" s="15">
        <v>0</v>
      </c>
      <c r="OL68" s="15">
        <v>0</v>
      </c>
      <c r="OM68" s="15">
        <v>0</v>
      </c>
      <c r="ON68" s="15">
        <v>0</v>
      </c>
      <c r="OO68" s="15">
        <v>0</v>
      </c>
    </row>
    <row r="69" spans="1:486">
      <c r="A69">
        <v>1003565</v>
      </c>
      <c r="B69" t="s">
        <v>503</v>
      </c>
      <c r="C69" t="s">
        <v>972</v>
      </c>
      <c r="D69" t="s">
        <v>532</v>
      </c>
      <c r="E69" t="s">
        <v>500</v>
      </c>
      <c r="F69" t="s">
        <v>505</v>
      </c>
      <c r="G69">
        <v>5</v>
      </c>
      <c r="H69" t="s">
        <v>487</v>
      </c>
      <c r="I69" t="s">
        <v>487</v>
      </c>
      <c r="J69" t="s">
        <v>487</v>
      </c>
      <c r="K69" t="s">
        <v>488</v>
      </c>
      <c r="L69" t="s">
        <v>489</v>
      </c>
      <c r="M69" t="s">
        <v>489</v>
      </c>
      <c r="N69" t="s">
        <v>490</v>
      </c>
      <c r="O69" t="s">
        <v>489</v>
      </c>
      <c r="P69" t="s">
        <v>489</v>
      </c>
      <c r="Q69" t="s">
        <v>490</v>
      </c>
      <c r="R69" t="s">
        <v>490</v>
      </c>
      <c r="S69" t="s">
        <v>490</v>
      </c>
      <c r="T69" t="s">
        <v>489</v>
      </c>
      <c r="U69" t="s">
        <v>490</v>
      </c>
      <c r="V69" t="s">
        <v>490</v>
      </c>
      <c r="W69" t="s">
        <v>489</v>
      </c>
      <c r="X69" t="s">
        <v>490</v>
      </c>
      <c r="Y69" t="s">
        <v>490</v>
      </c>
      <c r="Z69" t="s">
        <v>490</v>
      </c>
      <c r="AA69" t="s">
        <v>490</v>
      </c>
      <c r="AB69" t="s">
        <v>489</v>
      </c>
      <c r="AC69" t="s">
        <v>490</v>
      </c>
      <c r="AD69" t="s">
        <v>490</v>
      </c>
      <c r="AE69" t="s">
        <v>489</v>
      </c>
      <c r="AF69" t="s">
        <v>489</v>
      </c>
      <c r="AG69" t="s">
        <v>490</v>
      </c>
      <c r="AH69" t="s">
        <v>490</v>
      </c>
      <c r="AI69" t="s">
        <v>490</v>
      </c>
      <c r="AJ69" t="s">
        <v>490</v>
      </c>
      <c r="AK69" t="s">
        <v>489</v>
      </c>
      <c r="AL69" t="s">
        <v>490</v>
      </c>
      <c r="AM69" t="s">
        <v>490</v>
      </c>
      <c r="AN69" t="s">
        <v>489</v>
      </c>
      <c r="AO69" t="s">
        <v>490</v>
      </c>
      <c r="AP69" t="s">
        <v>490</v>
      </c>
      <c r="AQ69" t="s">
        <v>489</v>
      </c>
      <c r="AR69" t="s">
        <v>490</v>
      </c>
      <c r="AS69" t="s">
        <v>490</v>
      </c>
      <c r="AT69" t="s">
        <v>489</v>
      </c>
      <c r="AU69" t="s">
        <v>490</v>
      </c>
      <c r="AV69" t="s">
        <v>490</v>
      </c>
      <c r="AW69" t="s">
        <v>489</v>
      </c>
      <c r="AX69" t="s">
        <v>489</v>
      </c>
      <c r="AY69" t="s">
        <v>490</v>
      </c>
      <c r="AZ69" t="s">
        <v>490</v>
      </c>
      <c r="BA69" t="s">
        <v>490</v>
      </c>
      <c r="BB69" t="s">
        <v>490</v>
      </c>
      <c r="BC69" t="s">
        <v>489</v>
      </c>
      <c r="BD69" t="s">
        <v>490</v>
      </c>
      <c r="BE69" t="s">
        <v>490</v>
      </c>
      <c r="BF69" t="s">
        <v>489</v>
      </c>
      <c r="BG69" t="s">
        <v>490</v>
      </c>
      <c r="BH69" t="s">
        <v>490</v>
      </c>
      <c r="BI69" t="s">
        <v>489</v>
      </c>
      <c r="BJ69" t="s">
        <v>490</v>
      </c>
      <c r="BK69" t="s">
        <v>490</v>
      </c>
      <c r="BL69" t="s">
        <v>489</v>
      </c>
      <c r="BM69" t="s">
        <v>490</v>
      </c>
      <c r="BN69" t="s">
        <v>490</v>
      </c>
      <c r="BO69" t="s">
        <v>489</v>
      </c>
      <c r="BP69" t="s">
        <v>490</v>
      </c>
      <c r="BQ69" t="s">
        <v>490</v>
      </c>
      <c r="BR69" t="s">
        <v>489</v>
      </c>
      <c r="BS69" t="s">
        <v>490</v>
      </c>
      <c r="BT69" t="s">
        <v>490</v>
      </c>
      <c r="BU69" t="s">
        <v>489</v>
      </c>
      <c r="CB69" t="s">
        <v>490</v>
      </c>
      <c r="CC69" t="s">
        <v>490</v>
      </c>
      <c r="CD69" t="s">
        <v>489</v>
      </c>
      <c r="CE69" t="s">
        <v>490</v>
      </c>
      <c r="CF69" t="s">
        <v>490</v>
      </c>
      <c r="CG69" t="s">
        <v>489</v>
      </c>
      <c r="CH69" t="s">
        <v>490</v>
      </c>
      <c r="CI69" t="s">
        <v>490</v>
      </c>
      <c r="CJ69" t="s">
        <v>489</v>
      </c>
      <c r="CK69" t="s">
        <v>490</v>
      </c>
      <c r="CL69" t="s">
        <v>490</v>
      </c>
      <c r="CM69" t="s">
        <v>489</v>
      </c>
      <c r="CN69" t="s">
        <v>489</v>
      </c>
      <c r="CO69" t="s">
        <v>490</v>
      </c>
      <c r="CP69" t="s">
        <v>490</v>
      </c>
      <c r="CQ69" t="s">
        <v>489</v>
      </c>
      <c r="CR69" t="s">
        <v>489</v>
      </c>
      <c r="CS69" t="s">
        <v>490</v>
      </c>
      <c r="CT69" t="s">
        <v>489</v>
      </c>
      <c r="CU69" t="s">
        <v>489</v>
      </c>
      <c r="CV69" t="s">
        <v>490</v>
      </c>
      <c r="EY69">
        <v>89</v>
      </c>
      <c r="EZ69">
        <v>5</v>
      </c>
      <c r="FA69">
        <v>90</v>
      </c>
      <c r="FB69" t="s">
        <v>491</v>
      </c>
      <c r="FC69">
        <v>5</v>
      </c>
      <c r="FD69">
        <v>5</v>
      </c>
      <c r="FE69">
        <v>1000</v>
      </c>
      <c r="FF69">
        <v>1000</v>
      </c>
      <c r="FK69">
        <v>4</v>
      </c>
      <c r="FL69">
        <v>4</v>
      </c>
      <c r="GG69">
        <v>100</v>
      </c>
      <c r="GH69">
        <v>0</v>
      </c>
      <c r="GI69">
        <v>0</v>
      </c>
      <c r="GJ69">
        <v>90</v>
      </c>
      <c r="GK69">
        <v>10</v>
      </c>
      <c r="GL69">
        <v>0</v>
      </c>
      <c r="GS69">
        <v>0</v>
      </c>
      <c r="GT69">
        <v>50</v>
      </c>
      <c r="GU69">
        <v>50</v>
      </c>
      <c r="HK69">
        <v>0</v>
      </c>
      <c r="HS69">
        <v>100</v>
      </c>
      <c r="IA69">
        <v>0</v>
      </c>
      <c r="II69">
        <v>0</v>
      </c>
      <c r="IJ69">
        <v>100</v>
      </c>
      <c r="IK69">
        <v>100</v>
      </c>
      <c r="KI69">
        <v>4444</v>
      </c>
      <c r="KN69">
        <v>4444</v>
      </c>
      <c r="LA69">
        <v>20</v>
      </c>
      <c r="LB69">
        <v>80</v>
      </c>
      <c r="LC69">
        <v>0</v>
      </c>
      <c r="LD69">
        <v>30000</v>
      </c>
      <c r="LE69">
        <v>0</v>
      </c>
      <c r="LF69">
        <v>100000</v>
      </c>
      <c r="LG69">
        <v>0</v>
      </c>
      <c r="LH69">
        <v>1</v>
      </c>
      <c r="LI69">
        <v>99</v>
      </c>
      <c r="LJ69">
        <v>50</v>
      </c>
      <c r="OH69" s="15">
        <v>7</v>
      </c>
      <c r="OI69" s="15">
        <v>1</v>
      </c>
      <c r="OJ69" s="15">
        <v>7</v>
      </c>
      <c r="OK69" s="15">
        <v>1</v>
      </c>
      <c r="OL69" s="15">
        <v>7</v>
      </c>
      <c r="OM69" s="15">
        <v>7</v>
      </c>
      <c r="ON69" s="15">
        <v>1</v>
      </c>
      <c r="OO69" s="15">
        <v>1</v>
      </c>
      <c r="OQ69" t="s">
        <v>487</v>
      </c>
      <c r="OR69" t="s">
        <v>487</v>
      </c>
      <c r="OS69" t="s">
        <v>489</v>
      </c>
      <c r="OT69" t="s">
        <v>490</v>
      </c>
      <c r="OU69" t="s">
        <v>490</v>
      </c>
      <c r="OV69" t="s">
        <v>490</v>
      </c>
      <c r="OW69" t="s">
        <v>490</v>
      </c>
      <c r="OY69">
        <v>0</v>
      </c>
      <c r="OZ69">
        <v>50</v>
      </c>
      <c r="PA69">
        <v>0</v>
      </c>
      <c r="PB69">
        <v>0</v>
      </c>
      <c r="PC69">
        <v>0</v>
      </c>
      <c r="PD69">
        <v>0</v>
      </c>
      <c r="PE69">
        <v>0</v>
      </c>
      <c r="PF69">
        <v>0</v>
      </c>
      <c r="PG69">
        <v>0</v>
      </c>
      <c r="PH69">
        <v>0</v>
      </c>
      <c r="PI69">
        <v>0</v>
      </c>
      <c r="PJ69">
        <v>50</v>
      </c>
      <c r="PK69">
        <v>0</v>
      </c>
      <c r="PL69">
        <v>0</v>
      </c>
      <c r="PM69">
        <v>0</v>
      </c>
      <c r="PN69">
        <v>0</v>
      </c>
      <c r="PO69">
        <v>0</v>
      </c>
      <c r="PP69">
        <v>0</v>
      </c>
      <c r="PQ69">
        <v>0</v>
      </c>
      <c r="PR69">
        <v>0</v>
      </c>
      <c r="PT69" t="s">
        <v>487</v>
      </c>
      <c r="PU69" t="s">
        <v>497</v>
      </c>
      <c r="PV69">
        <v>20000</v>
      </c>
      <c r="PW69">
        <v>500</v>
      </c>
      <c r="PX69">
        <v>20500</v>
      </c>
      <c r="PY69" t="s">
        <v>493</v>
      </c>
      <c r="PZ69" t="s">
        <v>493</v>
      </c>
      <c r="QA69">
        <v>10</v>
      </c>
      <c r="QB69">
        <v>90</v>
      </c>
      <c r="QC69">
        <v>95</v>
      </c>
      <c r="QD69">
        <v>5</v>
      </c>
      <c r="QE69" t="s">
        <v>508</v>
      </c>
      <c r="QZ69">
        <v>0.2</v>
      </c>
      <c r="RA69">
        <v>0.5</v>
      </c>
      <c r="RB69" t="s">
        <v>489</v>
      </c>
      <c r="RC69" t="s">
        <v>490</v>
      </c>
      <c r="RD69" t="s">
        <v>490</v>
      </c>
      <c r="RE69" t="s">
        <v>489</v>
      </c>
      <c r="RF69" t="s">
        <v>489</v>
      </c>
      <c r="RG69" t="s">
        <v>490</v>
      </c>
      <c r="RH69" t="s">
        <v>490</v>
      </c>
      <c r="RI69" t="s">
        <v>490</v>
      </c>
      <c r="RQ69" t="s">
        <v>533</v>
      </c>
      <c r="RR69" t="s">
        <v>533</v>
      </c>
    </row>
    <row r="70" spans="1:486">
      <c r="A70">
        <v>12124</v>
      </c>
      <c r="B70" t="s">
        <v>503</v>
      </c>
      <c r="C70" t="s">
        <v>972</v>
      </c>
      <c r="D70" t="s">
        <v>532</v>
      </c>
      <c r="E70" t="s">
        <v>500</v>
      </c>
      <c r="F70" t="s">
        <v>517</v>
      </c>
      <c r="G70">
        <v>0</v>
      </c>
      <c r="H70" t="s">
        <v>487</v>
      </c>
      <c r="I70" t="s">
        <v>488</v>
      </c>
      <c r="J70" t="s">
        <v>487</v>
      </c>
      <c r="K70" t="s">
        <v>488</v>
      </c>
      <c r="L70" t="s">
        <v>490</v>
      </c>
      <c r="M70" t="s">
        <v>490</v>
      </c>
      <c r="N70" t="s">
        <v>490</v>
      </c>
      <c r="O70" t="s">
        <v>490</v>
      </c>
      <c r="P70" t="s">
        <v>489</v>
      </c>
      <c r="Q70" t="s">
        <v>490</v>
      </c>
      <c r="R70" t="s">
        <v>490</v>
      </c>
      <c r="S70" t="s">
        <v>490</v>
      </c>
      <c r="CQ70" t="s">
        <v>489</v>
      </c>
      <c r="CR70" t="s">
        <v>490</v>
      </c>
      <c r="CS70" t="s">
        <v>490</v>
      </c>
      <c r="CT70" t="s">
        <v>490</v>
      </c>
      <c r="CU70" t="s">
        <v>490</v>
      </c>
      <c r="CV70" t="s">
        <v>489</v>
      </c>
      <c r="EY70">
        <v>95</v>
      </c>
      <c r="EZ70">
        <v>0</v>
      </c>
      <c r="FA70">
        <v>100</v>
      </c>
      <c r="FB70" t="s">
        <v>491</v>
      </c>
      <c r="LD70">
        <v>8000</v>
      </c>
      <c r="LF70">
        <v>8000</v>
      </c>
      <c r="LH70">
        <v>0</v>
      </c>
      <c r="LI70">
        <v>100</v>
      </c>
      <c r="LJ70">
        <v>0</v>
      </c>
      <c r="OH70" s="15">
        <v>0</v>
      </c>
      <c r="OI70" s="15">
        <v>0</v>
      </c>
      <c r="OJ70" s="15">
        <v>0</v>
      </c>
      <c r="OK70" s="15">
        <v>0</v>
      </c>
      <c r="OL70" s="15">
        <v>0</v>
      </c>
      <c r="OM70" s="15">
        <v>0</v>
      </c>
      <c r="ON70" s="15">
        <v>0</v>
      </c>
      <c r="OO70" s="15">
        <v>0</v>
      </c>
    </row>
    <row r="71" spans="1:486">
      <c r="A71">
        <v>11685</v>
      </c>
      <c r="B71" t="s">
        <v>503</v>
      </c>
      <c r="C71" t="s">
        <v>972</v>
      </c>
      <c r="D71" t="s">
        <v>532</v>
      </c>
      <c r="E71" t="s">
        <v>500</v>
      </c>
      <c r="F71" t="s">
        <v>545</v>
      </c>
      <c r="G71">
        <v>0</v>
      </c>
      <c r="H71" t="s">
        <v>487</v>
      </c>
      <c r="I71" t="s">
        <v>487</v>
      </c>
      <c r="J71" t="s">
        <v>487</v>
      </c>
      <c r="K71" t="s">
        <v>488</v>
      </c>
      <c r="L71" t="s">
        <v>490</v>
      </c>
      <c r="M71" t="s">
        <v>490</v>
      </c>
      <c r="N71" t="s">
        <v>490</v>
      </c>
      <c r="O71" t="s">
        <v>489</v>
      </c>
      <c r="P71" t="s">
        <v>490</v>
      </c>
      <c r="Q71" t="s">
        <v>490</v>
      </c>
      <c r="R71" t="s">
        <v>490</v>
      </c>
      <c r="S71" t="s">
        <v>490</v>
      </c>
      <c r="CB71" t="s">
        <v>490</v>
      </c>
      <c r="CC71" t="s">
        <v>490</v>
      </c>
      <c r="CD71" t="s">
        <v>489</v>
      </c>
      <c r="CE71" t="s">
        <v>490</v>
      </c>
      <c r="CF71" t="s">
        <v>490</v>
      </c>
      <c r="CG71" t="s">
        <v>489</v>
      </c>
      <c r="CH71" t="s">
        <v>489</v>
      </c>
      <c r="CI71" t="s">
        <v>490</v>
      </c>
      <c r="CJ71" t="s">
        <v>490</v>
      </c>
      <c r="CK71" t="s">
        <v>490</v>
      </c>
      <c r="CL71" t="s">
        <v>490</v>
      </c>
      <c r="CM71" t="s">
        <v>489</v>
      </c>
      <c r="CN71" t="s">
        <v>489</v>
      </c>
      <c r="CO71" t="s">
        <v>489</v>
      </c>
      <c r="CP71" t="s">
        <v>490</v>
      </c>
      <c r="EY71">
        <v>60</v>
      </c>
      <c r="EZ71">
        <v>5</v>
      </c>
      <c r="FA71">
        <v>50</v>
      </c>
      <c r="FB71" t="s">
        <v>491</v>
      </c>
      <c r="KG71">
        <v>500</v>
      </c>
      <c r="KI71">
        <v>250</v>
      </c>
      <c r="KL71">
        <v>500</v>
      </c>
      <c r="KN71">
        <v>250</v>
      </c>
      <c r="KU71">
        <v>1</v>
      </c>
      <c r="KV71">
        <v>49</v>
      </c>
      <c r="KW71">
        <v>50</v>
      </c>
      <c r="LA71">
        <v>5</v>
      </c>
      <c r="LB71">
        <v>95</v>
      </c>
      <c r="LC71">
        <v>0</v>
      </c>
      <c r="OH71" s="15">
        <v>3</v>
      </c>
      <c r="OI71" s="15">
        <v>2</v>
      </c>
      <c r="OJ71" s="15">
        <v>6</v>
      </c>
      <c r="OK71" s="15">
        <v>7</v>
      </c>
      <c r="OL71" s="15">
        <v>8</v>
      </c>
      <c r="OM71" s="15">
        <v>8</v>
      </c>
      <c r="ON71" s="15">
        <v>1</v>
      </c>
      <c r="OO71" s="15">
        <v>1</v>
      </c>
      <c r="OQ71" t="s">
        <v>487</v>
      </c>
      <c r="OR71" t="s">
        <v>488</v>
      </c>
      <c r="OY71">
        <v>0</v>
      </c>
      <c r="OZ71">
        <v>5</v>
      </c>
      <c r="PA71">
        <v>0</v>
      </c>
      <c r="PB71">
        <v>0</v>
      </c>
      <c r="PC71">
        <v>0</v>
      </c>
      <c r="PD71">
        <v>0</v>
      </c>
      <c r="PE71">
        <v>0</v>
      </c>
      <c r="PF71">
        <v>0</v>
      </c>
      <c r="PG71">
        <v>0</v>
      </c>
      <c r="PH71">
        <v>0</v>
      </c>
      <c r="PI71">
        <v>0</v>
      </c>
      <c r="PJ71">
        <v>50</v>
      </c>
      <c r="PK71">
        <v>0</v>
      </c>
      <c r="PL71">
        <v>0</v>
      </c>
      <c r="PM71">
        <v>0</v>
      </c>
      <c r="PN71">
        <v>0</v>
      </c>
      <c r="PO71">
        <v>0</v>
      </c>
      <c r="PP71">
        <v>0</v>
      </c>
      <c r="PQ71">
        <v>0</v>
      </c>
      <c r="PR71">
        <v>0</v>
      </c>
      <c r="PT71" t="s">
        <v>488</v>
      </c>
      <c r="PU71" t="s">
        <v>497</v>
      </c>
      <c r="PV71">
        <v>500</v>
      </c>
      <c r="PW71">
        <v>0</v>
      </c>
      <c r="PX71">
        <v>500</v>
      </c>
      <c r="PY71" t="s">
        <v>493</v>
      </c>
      <c r="PZ71" t="s">
        <v>493</v>
      </c>
      <c r="QA71">
        <v>1</v>
      </c>
      <c r="QB71">
        <v>99</v>
      </c>
      <c r="QC71">
        <v>100</v>
      </c>
      <c r="QD71">
        <v>0</v>
      </c>
      <c r="QE71" t="s">
        <v>508</v>
      </c>
      <c r="QZ71">
        <v>0</v>
      </c>
      <c r="RA71">
        <v>4</v>
      </c>
      <c r="RB71" t="s">
        <v>489</v>
      </c>
      <c r="RC71" t="s">
        <v>490</v>
      </c>
      <c r="RD71" t="s">
        <v>490</v>
      </c>
      <c r="RE71" t="s">
        <v>490</v>
      </c>
      <c r="RF71" t="s">
        <v>490</v>
      </c>
      <c r="RG71" t="s">
        <v>490</v>
      </c>
      <c r="RH71" t="s">
        <v>490</v>
      </c>
      <c r="RI71" t="s">
        <v>490</v>
      </c>
    </row>
    <row r="72" spans="1:486">
      <c r="A72">
        <v>1003475</v>
      </c>
      <c r="B72" t="s">
        <v>503</v>
      </c>
      <c r="C72" t="s">
        <v>972</v>
      </c>
      <c r="D72" t="s">
        <v>532</v>
      </c>
      <c r="E72" t="s">
        <v>500</v>
      </c>
      <c r="F72" t="s">
        <v>516</v>
      </c>
      <c r="G72">
        <v>1</v>
      </c>
      <c r="H72" t="s">
        <v>487</v>
      </c>
      <c r="I72" t="s">
        <v>488</v>
      </c>
      <c r="J72" t="s">
        <v>488</v>
      </c>
      <c r="K72" t="s">
        <v>488</v>
      </c>
      <c r="L72" t="s">
        <v>489</v>
      </c>
      <c r="M72" t="s">
        <v>489</v>
      </c>
      <c r="N72" t="s">
        <v>489</v>
      </c>
      <c r="O72" t="s">
        <v>489</v>
      </c>
      <c r="P72" t="s">
        <v>489</v>
      </c>
      <c r="Q72" t="s">
        <v>490</v>
      </c>
      <c r="R72" t="s">
        <v>489</v>
      </c>
      <c r="S72" t="s">
        <v>489</v>
      </c>
      <c r="T72" t="s">
        <v>490</v>
      </c>
      <c r="U72" t="s">
        <v>490</v>
      </c>
      <c r="V72" t="s">
        <v>489</v>
      </c>
      <c r="W72" t="s">
        <v>489</v>
      </c>
      <c r="X72" t="s">
        <v>490</v>
      </c>
      <c r="Y72" t="s">
        <v>490</v>
      </c>
      <c r="Z72" t="s">
        <v>490</v>
      </c>
      <c r="AA72" t="s">
        <v>490</v>
      </c>
      <c r="AB72" t="s">
        <v>489</v>
      </c>
      <c r="AC72" t="s">
        <v>490</v>
      </c>
      <c r="AD72" t="s">
        <v>490</v>
      </c>
      <c r="AE72" t="s">
        <v>489</v>
      </c>
      <c r="AF72" t="s">
        <v>489</v>
      </c>
      <c r="AG72" t="s">
        <v>490</v>
      </c>
      <c r="AH72" t="s">
        <v>490</v>
      </c>
      <c r="AI72" t="s">
        <v>489</v>
      </c>
      <c r="AJ72" t="s">
        <v>490</v>
      </c>
      <c r="AK72" t="s">
        <v>490</v>
      </c>
      <c r="AL72" t="s">
        <v>490</v>
      </c>
      <c r="AM72" t="s">
        <v>490</v>
      </c>
      <c r="AN72" t="s">
        <v>489</v>
      </c>
      <c r="AO72" t="s">
        <v>490</v>
      </c>
      <c r="AP72" t="s">
        <v>490</v>
      </c>
      <c r="AQ72" t="s">
        <v>489</v>
      </c>
      <c r="AR72" t="s">
        <v>490</v>
      </c>
      <c r="AS72" t="s">
        <v>490</v>
      </c>
      <c r="AT72" t="s">
        <v>489</v>
      </c>
      <c r="AU72" t="s">
        <v>489</v>
      </c>
      <c r="AV72" t="s">
        <v>490</v>
      </c>
      <c r="AW72" t="s">
        <v>490</v>
      </c>
      <c r="AX72" t="s">
        <v>489</v>
      </c>
      <c r="AY72" t="s">
        <v>490</v>
      </c>
      <c r="AZ72" t="s">
        <v>490</v>
      </c>
      <c r="BA72" t="s">
        <v>489</v>
      </c>
      <c r="BB72" t="s">
        <v>490</v>
      </c>
      <c r="BC72" t="s">
        <v>490</v>
      </c>
      <c r="BD72" t="s">
        <v>489</v>
      </c>
      <c r="BE72" t="s">
        <v>490</v>
      </c>
      <c r="BF72" t="s">
        <v>490</v>
      </c>
      <c r="BG72" t="s">
        <v>489</v>
      </c>
      <c r="BH72" t="s">
        <v>490</v>
      </c>
      <c r="BI72" t="s">
        <v>490</v>
      </c>
      <c r="BJ72" t="s">
        <v>489</v>
      </c>
      <c r="BK72" t="s">
        <v>489</v>
      </c>
      <c r="BL72" t="s">
        <v>490</v>
      </c>
      <c r="BM72" t="s">
        <v>489</v>
      </c>
      <c r="BN72" t="s">
        <v>490</v>
      </c>
      <c r="BO72" t="s">
        <v>490</v>
      </c>
      <c r="BP72" t="s">
        <v>490</v>
      </c>
      <c r="BQ72" t="s">
        <v>490</v>
      </c>
      <c r="BR72" t="s">
        <v>489</v>
      </c>
      <c r="BS72" t="s">
        <v>489</v>
      </c>
      <c r="BT72" t="s">
        <v>489</v>
      </c>
      <c r="BU72" t="s">
        <v>490</v>
      </c>
      <c r="BV72" t="s">
        <v>489</v>
      </c>
      <c r="BW72" t="s">
        <v>490</v>
      </c>
      <c r="BX72" t="s">
        <v>490</v>
      </c>
      <c r="BY72" t="s">
        <v>489</v>
      </c>
      <c r="BZ72" t="s">
        <v>489</v>
      </c>
      <c r="CA72" t="s">
        <v>490</v>
      </c>
      <c r="CB72" t="s">
        <v>489</v>
      </c>
      <c r="CC72" t="s">
        <v>490</v>
      </c>
      <c r="CD72" t="s">
        <v>490</v>
      </c>
      <c r="CE72" t="s">
        <v>489</v>
      </c>
      <c r="CF72" t="s">
        <v>490</v>
      </c>
      <c r="CG72" t="s">
        <v>490</v>
      </c>
      <c r="CH72" t="s">
        <v>489</v>
      </c>
      <c r="CI72" t="s">
        <v>490</v>
      </c>
      <c r="CJ72" t="s">
        <v>490</v>
      </c>
      <c r="CK72" t="s">
        <v>490</v>
      </c>
      <c r="CL72" t="s">
        <v>490</v>
      </c>
      <c r="CM72" t="s">
        <v>489</v>
      </c>
      <c r="CN72" t="s">
        <v>489</v>
      </c>
      <c r="CO72" t="s">
        <v>490</v>
      </c>
      <c r="CP72" t="s">
        <v>490</v>
      </c>
      <c r="CQ72" t="s">
        <v>489</v>
      </c>
      <c r="CR72" t="s">
        <v>490</v>
      </c>
      <c r="CS72" t="s">
        <v>490</v>
      </c>
      <c r="CT72" t="s">
        <v>489</v>
      </c>
      <c r="CU72" t="s">
        <v>490</v>
      </c>
      <c r="CV72" t="s">
        <v>490</v>
      </c>
      <c r="DI72" t="s">
        <v>490</v>
      </c>
      <c r="DJ72" t="s">
        <v>490</v>
      </c>
      <c r="DK72" t="s">
        <v>489</v>
      </c>
      <c r="DL72" t="s">
        <v>489</v>
      </c>
      <c r="DM72" t="s">
        <v>490</v>
      </c>
      <c r="DN72" t="s">
        <v>490</v>
      </c>
      <c r="DO72" t="s">
        <v>490</v>
      </c>
      <c r="DP72" t="s">
        <v>490</v>
      </c>
      <c r="DQ72" t="s">
        <v>489</v>
      </c>
      <c r="DR72" t="s">
        <v>489</v>
      </c>
      <c r="DS72" t="s">
        <v>489</v>
      </c>
      <c r="DT72" t="s">
        <v>490</v>
      </c>
      <c r="DU72" t="s">
        <v>489</v>
      </c>
      <c r="DV72" t="s">
        <v>489</v>
      </c>
      <c r="DW72" t="s">
        <v>490</v>
      </c>
      <c r="DX72" t="s">
        <v>490</v>
      </c>
      <c r="DY72" t="s">
        <v>490</v>
      </c>
      <c r="DZ72" t="s">
        <v>489</v>
      </c>
      <c r="EA72" t="s">
        <v>490</v>
      </c>
      <c r="EB72" t="s">
        <v>489</v>
      </c>
      <c r="EC72" t="s">
        <v>490</v>
      </c>
      <c r="ED72" t="s">
        <v>490</v>
      </c>
      <c r="EE72" t="s">
        <v>490</v>
      </c>
      <c r="EF72" t="s">
        <v>489</v>
      </c>
      <c r="EG72" t="s">
        <v>490</v>
      </c>
      <c r="EH72" t="s">
        <v>490</v>
      </c>
      <c r="EI72" t="s">
        <v>489</v>
      </c>
      <c r="EJ72" t="s">
        <v>490</v>
      </c>
      <c r="EK72" t="s">
        <v>489</v>
      </c>
      <c r="EL72" t="s">
        <v>490</v>
      </c>
      <c r="EM72" t="s">
        <v>490</v>
      </c>
      <c r="EN72" t="s">
        <v>490</v>
      </c>
      <c r="EO72" t="s">
        <v>489</v>
      </c>
      <c r="EP72" t="s">
        <v>490</v>
      </c>
      <c r="EQ72" t="s">
        <v>489</v>
      </c>
      <c r="ER72" t="s">
        <v>490</v>
      </c>
      <c r="ES72" t="s">
        <v>490</v>
      </c>
      <c r="ET72" t="s">
        <v>489</v>
      </c>
      <c r="EU72" t="s">
        <v>490</v>
      </c>
      <c r="EV72" t="s">
        <v>490</v>
      </c>
      <c r="EW72" t="s">
        <v>489</v>
      </c>
      <c r="EX72" t="s">
        <v>490</v>
      </c>
      <c r="EY72">
        <v>15</v>
      </c>
      <c r="EZ72">
        <v>10</v>
      </c>
      <c r="FA72">
        <v>85</v>
      </c>
      <c r="FB72" t="s">
        <v>543</v>
      </c>
      <c r="OH72" s="15">
        <v>0</v>
      </c>
      <c r="OI72" s="15">
        <v>0</v>
      </c>
      <c r="OJ72" s="15">
        <v>0</v>
      </c>
      <c r="OK72" s="15">
        <v>0</v>
      </c>
      <c r="OL72" s="15">
        <v>0</v>
      </c>
      <c r="OM72" s="15">
        <v>0</v>
      </c>
      <c r="ON72" s="15">
        <v>0</v>
      </c>
      <c r="OO72" s="15">
        <v>0</v>
      </c>
    </row>
    <row r="73" spans="1:486">
      <c r="A73">
        <v>12147</v>
      </c>
      <c r="B73" t="s">
        <v>503</v>
      </c>
      <c r="C73" t="s">
        <v>972</v>
      </c>
      <c r="D73" t="s">
        <v>532</v>
      </c>
      <c r="E73" t="s">
        <v>500</v>
      </c>
      <c r="F73" t="s">
        <v>486</v>
      </c>
      <c r="G73">
        <v>150</v>
      </c>
      <c r="H73" t="s">
        <v>487</v>
      </c>
      <c r="I73" t="s">
        <v>488</v>
      </c>
      <c r="J73" t="s">
        <v>488</v>
      </c>
      <c r="K73" t="s">
        <v>488</v>
      </c>
      <c r="L73" t="s">
        <v>489</v>
      </c>
      <c r="M73" t="s">
        <v>489</v>
      </c>
      <c r="N73" t="s">
        <v>489</v>
      </c>
      <c r="O73" t="s">
        <v>490</v>
      </c>
      <c r="P73" t="s">
        <v>489</v>
      </c>
      <c r="Q73" t="s">
        <v>489</v>
      </c>
      <c r="R73" t="s">
        <v>490</v>
      </c>
      <c r="S73" t="s">
        <v>490</v>
      </c>
      <c r="T73" t="s">
        <v>490</v>
      </c>
      <c r="U73" t="s">
        <v>490</v>
      </c>
      <c r="V73" t="s">
        <v>489</v>
      </c>
      <c r="W73" t="s">
        <v>489</v>
      </c>
      <c r="X73" t="s">
        <v>490</v>
      </c>
      <c r="Y73" t="s">
        <v>490</v>
      </c>
      <c r="Z73" t="s">
        <v>490</v>
      </c>
      <c r="AA73" t="s">
        <v>490</v>
      </c>
      <c r="AB73" t="s">
        <v>489</v>
      </c>
      <c r="AC73" t="s">
        <v>490</v>
      </c>
      <c r="AD73" t="s">
        <v>490</v>
      </c>
      <c r="AE73" t="s">
        <v>489</v>
      </c>
      <c r="AF73" t="s">
        <v>490</v>
      </c>
      <c r="AG73" t="s">
        <v>490</v>
      </c>
      <c r="AH73" t="s">
        <v>489</v>
      </c>
      <c r="AI73" t="s">
        <v>490</v>
      </c>
      <c r="AJ73" t="s">
        <v>490</v>
      </c>
      <c r="AK73" t="s">
        <v>489</v>
      </c>
      <c r="AL73" t="s">
        <v>490</v>
      </c>
      <c r="AM73" t="s">
        <v>490</v>
      </c>
      <c r="AN73" t="s">
        <v>489</v>
      </c>
      <c r="AO73" t="s">
        <v>490</v>
      </c>
      <c r="AP73" t="s">
        <v>490</v>
      </c>
      <c r="AQ73" t="s">
        <v>489</v>
      </c>
      <c r="AR73" t="s">
        <v>490</v>
      </c>
      <c r="AS73" t="s">
        <v>490</v>
      </c>
      <c r="AT73" t="s">
        <v>489</v>
      </c>
      <c r="AU73" t="s">
        <v>489</v>
      </c>
      <c r="AV73" t="s">
        <v>490</v>
      </c>
      <c r="AW73" t="s">
        <v>490</v>
      </c>
      <c r="AX73" t="s">
        <v>490</v>
      </c>
      <c r="AY73" t="s">
        <v>490</v>
      </c>
      <c r="AZ73" t="s">
        <v>489</v>
      </c>
      <c r="BA73" t="s">
        <v>489</v>
      </c>
      <c r="BB73" t="s">
        <v>489</v>
      </c>
      <c r="BC73" t="s">
        <v>490</v>
      </c>
      <c r="BD73" t="s">
        <v>490</v>
      </c>
      <c r="BE73" t="s">
        <v>490</v>
      </c>
      <c r="BF73" t="s">
        <v>489</v>
      </c>
      <c r="BG73" t="s">
        <v>490</v>
      </c>
      <c r="BH73" t="s">
        <v>490</v>
      </c>
      <c r="BI73" t="s">
        <v>489</v>
      </c>
      <c r="BJ73" t="s">
        <v>490</v>
      </c>
      <c r="BK73" t="s">
        <v>490</v>
      </c>
      <c r="BL73" t="s">
        <v>489</v>
      </c>
      <c r="BM73" t="s">
        <v>490</v>
      </c>
      <c r="BN73" t="s">
        <v>490</v>
      </c>
      <c r="BO73" t="s">
        <v>489</v>
      </c>
      <c r="BP73" t="s">
        <v>490</v>
      </c>
      <c r="BQ73" t="s">
        <v>490</v>
      </c>
      <c r="BR73" t="s">
        <v>489</v>
      </c>
      <c r="BS73" t="s">
        <v>489</v>
      </c>
      <c r="BT73" t="s">
        <v>490</v>
      </c>
      <c r="BU73" t="s">
        <v>490</v>
      </c>
      <c r="BV73" t="s">
        <v>490</v>
      </c>
      <c r="BW73" t="s">
        <v>490</v>
      </c>
      <c r="BX73" t="s">
        <v>489</v>
      </c>
      <c r="BY73" t="s">
        <v>490</v>
      </c>
      <c r="BZ73" t="s">
        <v>490</v>
      </c>
      <c r="CA73" t="s">
        <v>489</v>
      </c>
      <c r="CQ73" t="s">
        <v>489</v>
      </c>
      <c r="CR73" t="s">
        <v>490</v>
      </c>
      <c r="CS73" t="s">
        <v>490</v>
      </c>
      <c r="CT73" t="s">
        <v>489</v>
      </c>
      <c r="CU73" t="s">
        <v>490</v>
      </c>
      <c r="CV73" t="s">
        <v>490</v>
      </c>
      <c r="CW73" t="s">
        <v>489</v>
      </c>
      <c r="CX73" t="s">
        <v>490</v>
      </c>
      <c r="CY73" t="s">
        <v>490</v>
      </c>
      <c r="CZ73" t="s">
        <v>490</v>
      </c>
      <c r="DA73" t="s">
        <v>490</v>
      </c>
      <c r="DB73" t="s">
        <v>489</v>
      </c>
      <c r="DC73" t="s">
        <v>490</v>
      </c>
      <c r="DD73" t="s">
        <v>490</v>
      </c>
      <c r="DE73" t="s">
        <v>489</v>
      </c>
      <c r="DF73" t="s">
        <v>490</v>
      </c>
      <c r="DG73" t="s">
        <v>490</v>
      </c>
      <c r="DH73" t="s">
        <v>489</v>
      </c>
      <c r="EY73">
        <v>5</v>
      </c>
      <c r="EZ73">
        <v>10</v>
      </c>
      <c r="FA73">
        <v>90</v>
      </c>
      <c r="FB73" t="s">
        <v>543</v>
      </c>
      <c r="OH73" s="15">
        <v>0</v>
      </c>
      <c r="OI73" s="15">
        <v>0</v>
      </c>
      <c r="OJ73" s="15">
        <v>0</v>
      </c>
      <c r="OK73" s="15">
        <v>0</v>
      </c>
      <c r="OL73" s="15">
        <v>0</v>
      </c>
      <c r="OM73" s="15">
        <v>0</v>
      </c>
      <c r="ON73" s="15">
        <v>0</v>
      </c>
      <c r="OO73" s="15">
        <v>0</v>
      </c>
      <c r="RJ73" t="s">
        <v>604</v>
      </c>
    </row>
    <row r="74" spans="1:486">
      <c r="A74">
        <v>1003824</v>
      </c>
      <c r="B74" t="s">
        <v>503</v>
      </c>
      <c r="C74" t="s">
        <v>972</v>
      </c>
      <c r="D74" t="s">
        <v>534</v>
      </c>
      <c r="E74" t="s">
        <v>500</v>
      </c>
      <c r="F74" t="s">
        <v>496</v>
      </c>
      <c r="G74">
        <v>33</v>
      </c>
      <c r="H74" t="s">
        <v>487</v>
      </c>
      <c r="I74" t="s">
        <v>487</v>
      </c>
      <c r="J74" t="s">
        <v>488</v>
      </c>
      <c r="K74" t="s">
        <v>488</v>
      </c>
      <c r="L74" t="s">
        <v>489</v>
      </c>
      <c r="M74" t="s">
        <v>489</v>
      </c>
      <c r="N74" t="s">
        <v>489</v>
      </c>
      <c r="O74" t="s">
        <v>489</v>
      </c>
      <c r="P74" t="s">
        <v>489</v>
      </c>
      <c r="Q74" t="s">
        <v>490</v>
      </c>
      <c r="R74" t="s">
        <v>489</v>
      </c>
      <c r="S74" t="s">
        <v>490</v>
      </c>
      <c r="T74" t="s">
        <v>489</v>
      </c>
      <c r="U74" t="s">
        <v>490</v>
      </c>
      <c r="V74" t="s">
        <v>490</v>
      </c>
      <c r="W74" t="s">
        <v>489</v>
      </c>
      <c r="X74" t="s">
        <v>490</v>
      </c>
      <c r="Y74" t="s">
        <v>490</v>
      </c>
      <c r="Z74" t="s">
        <v>490</v>
      </c>
      <c r="AA74" t="s">
        <v>490</v>
      </c>
      <c r="AB74" t="s">
        <v>489</v>
      </c>
      <c r="AC74" t="s">
        <v>490</v>
      </c>
      <c r="AD74" t="s">
        <v>490</v>
      </c>
      <c r="AE74" t="s">
        <v>489</v>
      </c>
      <c r="AF74" t="s">
        <v>489</v>
      </c>
      <c r="AG74" t="s">
        <v>490</v>
      </c>
      <c r="AH74" t="s">
        <v>490</v>
      </c>
      <c r="AI74" t="s">
        <v>490</v>
      </c>
      <c r="AJ74" t="s">
        <v>490</v>
      </c>
      <c r="AK74" t="s">
        <v>489</v>
      </c>
      <c r="AL74" t="s">
        <v>490</v>
      </c>
      <c r="AM74" t="s">
        <v>490</v>
      </c>
      <c r="AN74" t="s">
        <v>489</v>
      </c>
      <c r="AO74" t="s">
        <v>489</v>
      </c>
      <c r="AP74" t="s">
        <v>490</v>
      </c>
      <c r="AQ74" t="s">
        <v>490</v>
      </c>
      <c r="AR74" t="s">
        <v>489</v>
      </c>
      <c r="AS74" t="s">
        <v>490</v>
      </c>
      <c r="AT74" t="s">
        <v>490</v>
      </c>
      <c r="AU74" t="s">
        <v>490</v>
      </c>
      <c r="AV74" t="s">
        <v>490</v>
      </c>
      <c r="AW74" t="s">
        <v>489</v>
      </c>
      <c r="AX74" t="s">
        <v>489</v>
      </c>
      <c r="AY74" t="s">
        <v>490</v>
      </c>
      <c r="AZ74" t="s">
        <v>490</v>
      </c>
      <c r="BA74" t="s">
        <v>489</v>
      </c>
      <c r="BB74" t="s">
        <v>489</v>
      </c>
      <c r="BC74" t="s">
        <v>490</v>
      </c>
      <c r="BD74" t="s">
        <v>489</v>
      </c>
      <c r="BE74" t="s">
        <v>489</v>
      </c>
      <c r="BF74" t="s">
        <v>490</v>
      </c>
      <c r="BG74" t="s">
        <v>489</v>
      </c>
      <c r="BH74" t="s">
        <v>489</v>
      </c>
      <c r="BI74" t="s">
        <v>490</v>
      </c>
      <c r="BJ74" t="s">
        <v>489</v>
      </c>
      <c r="BK74" t="s">
        <v>489</v>
      </c>
      <c r="BL74" t="s">
        <v>490</v>
      </c>
      <c r="BM74" t="s">
        <v>490</v>
      </c>
      <c r="BN74" t="s">
        <v>490</v>
      </c>
      <c r="BO74" t="s">
        <v>489</v>
      </c>
      <c r="BP74" t="s">
        <v>490</v>
      </c>
      <c r="BQ74" t="s">
        <v>490</v>
      </c>
      <c r="BR74" t="s">
        <v>489</v>
      </c>
      <c r="BS74" t="s">
        <v>490</v>
      </c>
      <c r="BT74" t="s">
        <v>490</v>
      </c>
      <c r="BU74" t="s">
        <v>489</v>
      </c>
      <c r="BV74" t="s">
        <v>490</v>
      </c>
      <c r="BW74" t="s">
        <v>490</v>
      </c>
      <c r="BX74" t="s">
        <v>489</v>
      </c>
      <c r="BY74" t="s">
        <v>489</v>
      </c>
      <c r="BZ74" t="s">
        <v>490</v>
      </c>
      <c r="CA74" t="s">
        <v>490</v>
      </c>
      <c r="CB74" t="s">
        <v>490</v>
      </c>
      <c r="CC74" t="s">
        <v>490</v>
      </c>
      <c r="CD74" t="s">
        <v>489</v>
      </c>
      <c r="CE74" t="s">
        <v>490</v>
      </c>
      <c r="CF74" t="s">
        <v>490</v>
      </c>
      <c r="CG74" t="s">
        <v>489</v>
      </c>
      <c r="CH74" t="s">
        <v>489</v>
      </c>
      <c r="CI74" t="s">
        <v>489</v>
      </c>
      <c r="CJ74" t="s">
        <v>490</v>
      </c>
      <c r="CK74" t="s">
        <v>489</v>
      </c>
      <c r="CL74" t="s">
        <v>489</v>
      </c>
      <c r="CM74" t="s">
        <v>490</v>
      </c>
      <c r="CN74" t="s">
        <v>489</v>
      </c>
      <c r="CO74" t="s">
        <v>489</v>
      </c>
      <c r="CP74" t="s">
        <v>490</v>
      </c>
      <c r="CQ74" t="s">
        <v>489</v>
      </c>
      <c r="CR74" t="s">
        <v>489</v>
      </c>
      <c r="CS74" t="s">
        <v>490</v>
      </c>
      <c r="CT74" t="s">
        <v>489</v>
      </c>
      <c r="CU74" t="s">
        <v>489</v>
      </c>
      <c r="CV74" t="s">
        <v>490</v>
      </c>
      <c r="DI74" t="s">
        <v>489</v>
      </c>
      <c r="DJ74" t="s">
        <v>490</v>
      </c>
      <c r="DK74" t="s">
        <v>490</v>
      </c>
      <c r="DL74" t="s">
        <v>489</v>
      </c>
      <c r="DM74" t="s">
        <v>490</v>
      </c>
      <c r="DN74" t="s">
        <v>490</v>
      </c>
      <c r="DO74" t="s">
        <v>490</v>
      </c>
      <c r="DP74" t="s">
        <v>490</v>
      </c>
      <c r="DQ74" t="s">
        <v>489</v>
      </c>
      <c r="DR74" t="s">
        <v>489</v>
      </c>
      <c r="DS74" t="s">
        <v>490</v>
      </c>
      <c r="DT74" t="s">
        <v>490</v>
      </c>
      <c r="DU74" t="s">
        <v>490</v>
      </c>
      <c r="DV74" t="s">
        <v>490</v>
      </c>
      <c r="DW74" t="s">
        <v>489</v>
      </c>
      <c r="DX74" t="s">
        <v>490</v>
      </c>
      <c r="DY74" t="s">
        <v>490</v>
      </c>
      <c r="DZ74" t="s">
        <v>489</v>
      </c>
      <c r="EY74">
        <v>100</v>
      </c>
      <c r="EZ74">
        <v>5</v>
      </c>
      <c r="FA74">
        <v>10</v>
      </c>
      <c r="FB74" t="s">
        <v>543</v>
      </c>
      <c r="OH74" s="15">
        <v>10</v>
      </c>
      <c r="OI74" s="15">
        <v>5</v>
      </c>
      <c r="OJ74" s="15">
        <v>10</v>
      </c>
      <c r="OK74" s="15">
        <v>1</v>
      </c>
      <c r="OL74" s="15">
        <v>10</v>
      </c>
      <c r="OM74" s="15">
        <v>7</v>
      </c>
      <c r="ON74" s="15">
        <v>5</v>
      </c>
      <c r="OO74" s="15">
        <v>10</v>
      </c>
      <c r="OQ74" t="s">
        <v>488</v>
      </c>
      <c r="OR74" t="s">
        <v>487</v>
      </c>
      <c r="OS74" t="s">
        <v>489</v>
      </c>
      <c r="OT74" t="s">
        <v>490</v>
      </c>
      <c r="OU74" t="s">
        <v>490</v>
      </c>
      <c r="OV74" t="s">
        <v>490</v>
      </c>
      <c r="OW74" t="s">
        <v>490</v>
      </c>
      <c r="OY74">
        <v>100</v>
      </c>
      <c r="OZ74">
        <v>100</v>
      </c>
      <c r="PA74">
        <v>0</v>
      </c>
      <c r="PB74">
        <v>0</v>
      </c>
      <c r="PC74">
        <v>0</v>
      </c>
      <c r="PD74">
        <v>0</v>
      </c>
      <c r="PE74">
        <v>5</v>
      </c>
      <c r="PF74">
        <v>0</v>
      </c>
      <c r="PG74">
        <v>0</v>
      </c>
      <c r="PH74">
        <v>0</v>
      </c>
      <c r="PI74">
        <v>100</v>
      </c>
      <c r="PJ74">
        <v>100</v>
      </c>
      <c r="PK74">
        <v>50</v>
      </c>
      <c r="PL74">
        <v>50</v>
      </c>
      <c r="PM74">
        <v>0</v>
      </c>
      <c r="PN74">
        <v>0</v>
      </c>
      <c r="PO74">
        <v>5</v>
      </c>
      <c r="PP74">
        <v>0</v>
      </c>
      <c r="PQ74">
        <v>0</v>
      </c>
      <c r="PR74">
        <v>0</v>
      </c>
      <c r="PT74" t="s">
        <v>488</v>
      </c>
      <c r="PU74" t="s">
        <v>497</v>
      </c>
      <c r="PV74">
        <v>50000</v>
      </c>
      <c r="PW74">
        <v>50000</v>
      </c>
      <c r="PX74">
        <v>100000</v>
      </c>
      <c r="PY74" t="s">
        <v>493</v>
      </c>
      <c r="PZ74" t="s">
        <v>510</v>
      </c>
      <c r="QA74">
        <v>50</v>
      </c>
      <c r="QB74">
        <v>50</v>
      </c>
      <c r="QC74">
        <v>30</v>
      </c>
      <c r="QD74">
        <v>70</v>
      </c>
      <c r="QE74" t="s">
        <v>508</v>
      </c>
      <c r="QZ74">
        <v>1</v>
      </c>
      <c r="RA74">
        <v>0</v>
      </c>
      <c r="RB74" t="s">
        <v>489</v>
      </c>
      <c r="RC74" t="s">
        <v>490</v>
      </c>
      <c r="RD74" t="s">
        <v>489</v>
      </c>
      <c r="RE74" t="s">
        <v>490</v>
      </c>
      <c r="RF74" t="s">
        <v>490</v>
      </c>
      <c r="RG74" t="s">
        <v>490</v>
      </c>
      <c r="RH74" t="s">
        <v>490</v>
      </c>
      <c r="RI74" t="s">
        <v>490</v>
      </c>
      <c r="RJ74" t="s">
        <v>587</v>
      </c>
      <c r="RL74" t="s">
        <v>588</v>
      </c>
    </row>
    <row r="75" spans="1:486">
      <c r="A75">
        <v>12005</v>
      </c>
      <c r="B75" t="s">
        <v>503</v>
      </c>
      <c r="C75" t="s">
        <v>972</v>
      </c>
      <c r="D75" t="s">
        <v>534</v>
      </c>
      <c r="E75" t="s">
        <v>500</v>
      </c>
      <c r="F75" t="s">
        <v>496</v>
      </c>
      <c r="G75">
        <v>35</v>
      </c>
      <c r="H75" t="s">
        <v>487</v>
      </c>
      <c r="I75" t="s">
        <v>487</v>
      </c>
      <c r="J75" t="s">
        <v>487</v>
      </c>
      <c r="K75" t="s">
        <v>488</v>
      </c>
      <c r="L75" t="s">
        <v>489</v>
      </c>
      <c r="M75" t="s">
        <v>489</v>
      </c>
      <c r="N75" t="s">
        <v>489</v>
      </c>
      <c r="O75" t="s">
        <v>489</v>
      </c>
      <c r="P75" t="s">
        <v>490</v>
      </c>
      <c r="Q75" t="s">
        <v>489</v>
      </c>
      <c r="R75" t="s">
        <v>490</v>
      </c>
      <c r="S75" t="s">
        <v>490</v>
      </c>
      <c r="T75" t="s">
        <v>489</v>
      </c>
      <c r="U75" t="s">
        <v>489</v>
      </c>
      <c r="V75" t="s">
        <v>490</v>
      </c>
      <c r="W75" t="s">
        <v>489</v>
      </c>
      <c r="X75" t="s">
        <v>490</v>
      </c>
      <c r="Y75" t="s">
        <v>490</v>
      </c>
      <c r="Z75" t="s">
        <v>490</v>
      </c>
      <c r="AA75" t="s">
        <v>490</v>
      </c>
      <c r="AB75" t="s">
        <v>489</v>
      </c>
      <c r="AC75" t="s">
        <v>490</v>
      </c>
      <c r="AD75" t="s">
        <v>490</v>
      </c>
      <c r="AE75" t="s">
        <v>489</v>
      </c>
      <c r="AF75" t="s">
        <v>489</v>
      </c>
      <c r="AG75" t="s">
        <v>490</v>
      </c>
      <c r="AH75" t="s">
        <v>490</v>
      </c>
      <c r="AI75" t="s">
        <v>490</v>
      </c>
      <c r="AJ75" t="s">
        <v>490</v>
      </c>
      <c r="AK75" t="s">
        <v>489</v>
      </c>
      <c r="AL75" t="s">
        <v>490</v>
      </c>
      <c r="AM75" t="s">
        <v>490</v>
      </c>
      <c r="AN75" t="s">
        <v>489</v>
      </c>
      <c r="AO75" t="s">
        <v>490</v>
      </c>
      <c r="AP75" t="s">
        <v>490</v>
      </c>
      <c r="AQ75" t="s">
        <v>489</v>
      </c>
      <c r="AR75" t="s">
        <v>490</v>
      </c>
      <c r="AS75" t="s">
        <v>490</v>
      </c>
      <c r="AT75" t="s">
        <v>489</v>
      </c>
      <c r="AU75" t="s">
        <v>490</v>
      </c>
      <c r="AV75" t="s">
        <v>490</v>
      </c>
      <c r="AW75" t="s">
        <v>489</v>
      </c>
      <c r="AX75" t="s">
        <v>489</v>
      </c>
      <c r="AY75" t="s">
        <v>489</v>
      </c>
      <c r="AZ75" t="s">
        <v>490</v>
      </c>
      <c r="BA75" t="s">
        <v>489</v>
      </c>
      <c r="BB75" t="s">
        <v>489</v>
      </c>
      <c r="BC75" t="s">
        <v>490</v>
      </c>
      <c r="BD75" t="s">
        <v>489</v>
      </c>
      <c r="BE75" t="s">
        <v>489</v>
      </c>
      <c r="BF75" t="s">
        <v>490</v>
      </c>
      <c r="BG75" t="s">
        <v>489</v>
      </c>
      <c r="BH75" t="s">
        <v>489</v>
      </c>
      <c r="BI75" t="s">
        <v>490</v>
      </c>
      <c r="BJ75" t="s">
        <v>490</v>
      </c>
      <c r="BK75" t="s">
        <v>490</v>
      </c>
      <c r="BL75" t="s">
        <v>489</v>
      </c>
      <c r="BM75" t="s">
        <v>490</v>
      </c>
      <c r="BN75" t="s">
        <v>490</v>
      </c>
      <c r="BO75" t="s">
        <v>489</v>
      </c>
      <c r="BP75" t="s">
        <v>490</v>
      </c>
      <c r="BQ75" t="s">
        <v>490</v>
      </c>
      <c r="BR75" t="s">
        <v>489</v>
      </c>
      <c r="BS75" t="s">
        <v>490</v>
      </c>
      <c r="BT75" t="s">
        <v>490</v>
      </c>
      <c r="BU75" t="s">
        <v>489</v>
      </c>
      <c r="BV75" t="s">
        <v>489</v>
      </c>
      <c r="BW75" t="s">
        <v>489</v>
      </c>
      <c r="BX75" t="s">
        <v>490</v>
      </c>
      <c r="BY75" t="s">
        <v>489</v>
      </c>
      <c r="BZ75" t="s">
        <v>490</v>
      </c>
      <c r="CA75" t="s">
        <v>490</v>
      </c>
      <c r="CB75" t="s">
        <v>489</v>
      </c>
      <c r="CC75" t="s">
        <v>490</v>
      </c>
      <c r="CD75" t="s">
        <v>490</v>
      </c>
      <c r="CE75" t="s">
        <v>490</v>
      </c>
      <c r="CF75" t="s">
        <v>490</v>
      </c>
      <c r="CG75" t="s">
        <v>489</v>
      </c>
      <c r="CH75" t="s">
        <v>490</v>
      </c>
      <c r="CI75" t="s">
        <v>490</v>
      </c>
      <c r="CJ75" t="s">
        <v>489</v>
      </c>
      <c r="CK75" t="s">
        <v>489</v>
      </c>
      <c r="CL75" t="s">
        <v>489</v>
      </c>
      <c r="CM75" t="s">
        <v>490</v>
      </c>
      <c r="CN75" t="s">
        <v>490</v>
      </c>
      <c r="CO75" t="s">
        <v>490</v>
      </c>
      <c r="CP75" t="s">
        <v>489</v>
      </c>
      <c r="CW75" t="s">
        <v>489</v>
      </c>
      <c r="CX75" t="s">
        <v>490</v>
      </c>
      <c r="CY75" t="s">
        <v>490</v>
      </c>
      <c r="CZ75" t="s">
        <v>490</v>
      </c>
      <c r="DA75" t="s">
        <v>490</v>
      </c>
      <c r="DB75" t="s">
        <v>489</v>
      </c>
      <c r="DC75" t="s">
        <v>490</v>
      </c>
      <c r="DD75" t="s">
        <v>490</v>
      </c>
      <c r="DE75" t="s">
        <v>489</v>
      </c>
      <c r="DF75" t="s">
        <v>490</v>
      </c>
      <c r="DG75" t="s">
        <v>490</v>
      </c>
      <c r="DH75" t="s">
        <v>489</v>
      </c>
      <c r="EY75">
        <v>98</v>
      </c>
      <c r="EZ75">
        <v>25</v>
      </c>
      <c r="FA75">
        <v>50</v>
      </c>
      <c r="FB75" t="s">
        <v>491</v>
      </c>
      <c r="FC75">
        <v>80</v>
      </c>
      <c r="FD75">
        <v>200</v>
      </c>
      <c r="OH75" s="15">
        <v>0</v>
      </c>
      <c r="OI75" s="15">
        <v>0</v>
      </c>
      <c r="OJ75" s="15">
        <v>0</v>
      </c>
      <c r="OK75" s="15">
        <v>0</v>
      </c>
      <c r="OL75" s="15">
        <v>0</v>
      </c>
      <c r="OM75" s="15">
        <v>0</v>
      </c>
      <c r="ON75" s="15">
        <v>0</v>
      </c>
      <c r="OO75" s="15">
        <v>0</v>
      </c>
    </row>
    <row r="76" spans="1:486">
      <c r="A76">
        <v>11584</v>
      </c>
      <c r="B76" t="s">
        <v>503</v>
      </c>
      <c r="C76" t="s">
        <v>972</v>
      </c>
      <c r="D76" t="s">
        <v>534</v>
      </c>
      <c r="E76" t="s">
        <v>500</v>
      </c>
      <c r="F76" t="s">
        <v>486</v>
      </c>
      <c r="G76">
        <v>124</v>
      </c>
      <c r="H76" t="s">
        <v>487</v>
      </c>
      <c r="I76" t="s">
        <v>488</v>
      </c>
      <c r="J76" t="s">
        <v>488</v>
      </c>
      <c r="K76" t="s">
        <v>488</v>
      </c>
      <c r="L76" t="s">
        <v>489</v>
      </c>
      <c r="M76" t="s">
        <v>489</v>
      </c>
      <c r="N76" t="s">
        <v>490</v>
      </c>
      <c r="O76" t="s">
        <v>489</v>
      </c>
      <c r="P76" t="s">
        <v>490</v>
      </c>
      <c r="Q76" t="s">
        <v>490</v>
      </c>
      <c r="R76" t="s">
        <v>490</v>
      </c>
      <c r="S76" t="s">
        <v>490</v>
      </c>
      <c r="T76" t="s">
        <v>490</v>
      </c>
      <c r="U76" t="s">
        <v>490</v>
      </c>
      <c r="V76" t="s">
        <v>489</v>
      </c>
      <c r="W76" t="s">
        <v>489</v>
      </c>
      <c r="X76" t="s">
        <v>490</v>
      </c>
      <c r="Y76" t="s">
        <v>490</v>
      </c>
      <c r="Z76" t="s">
        <v>490</v>
      </c>
      <c r="AA76" t="s">
        <v>490</v>
      </c>
      <c r="AB76" t="s">
        <v>489</v>
      </c>
      <c r="AC76" t="s">
        <v>490</v>
      </c>
      <c r="AD76" t="s">
        <v>490</v>
      </c>
      <c r="AE76" t="s">
        <v>489</v>
      </c>
      <c r="AF76" t="s">
        <v>489</v>
      </c>
      <c r="AG76" t="s">
        <v>490</v>
      </c>
      <c r="AH76" t="s">
        <v>490</v>
      </c>
      <c r="AI76" t="s">
        <v>490</v>
      </c>
      <c r="AJ76" t="s">
        <v>490</v>
      </c>
      <c r="AK76" t="s">
        <v>489</v>
      </c>
      <c r="AL76" t="s">
        <v>490</v>
      </c>
      <c r="AM76" t="s">
        <v>490</v>
      </c>
      <c r="AN76" t="s">
        <v>489</v>
      </c>
      <c r="AO76" t="s">
        <v>490</v>
      </c>
      <c r="AP76" t="s">
        <v>490</v>
      </c>
      <c r="AQ76" t="s">
        <v>489</v>
      </c>
      <c r="AR76" t="s">
        <v>490</v>
      </c>
      <c r="AS76" t="s">
        <v>490</v>
      </c>
      <c r="AT76" t="s">
        <v>489</v>
      </c>
      <c r="AU76" t="s">
        <v>490</v>
      </c>
      <c r="AV76" t="s">
        <v>490</v>
      </c>
      <c r="AW76" t="s">
        <v>489</v>
      </c>
      <c r="AX76" t="s">
        <v>489</v>
      </c>
      <c r="AY76" t="s">
        <v>490</v>
      </c>
      <c r="AZ76" t="s">
        <v>490</v>
      </c>
      <c r="BA76" t="s">
        <v>490</v>
      </c>
      <c r="BB76" t="s">
        <v>490</v>
      </c>
      <c r="BC76" t="s">
        <v>489</v>
      </c>
      <c r="BD76" t="s">
        <v>489</v>
      </c>
      <c r="BE76" t="s">
        <v>490</v>
      </c>
      <c r="BF76" t="s">
        <v>490</v>
      </c>
      <c r="BG76" t="s">
        <v>490</v>
      </c>
      <c r="BH76" t="s">
        <v>490</v>
      </c>
      <c r="BI76" t="s">
        <v>489</v>
      </c>
      <c r="BJ76" t="s">
        <v>489</v>
      </c>
      <c r="BK76" t="s">
        <v>490</v>
      </c>
      <c r="BL76" t="s">
        <v>490</v>
      </c>
      <c r="BM76" t="s">
        <v>489</v>
      </c>
      <c r="BN76" t="s">
        <v>490</v>
      </c>
      <c r="BO76" t="s">
        <v>490</v>
      </c>
      <c r="BP76" t="s">
        <v>490</v>
      </c>
      <c r="BQ76" t="s">
        <v>490</v>
      </c>
      <c r="BR76" t="s">
        <v>489</v>
      </c>
      <c r="BS76" t="s">
        <v>490</v>
      </c>
      <c r="BT76" t="s">
        <v>490</v>
      </c>
      <c r="BU76" t="s">
        <v>489</v>
      </c>
      <c r="CB76" t="s">
        <v>490</v>
      </c>
      <c r="CC76" t="s">
        <v>490</v>
      </c>
      <c r="CD76" t="s">
        <v>489</v>
      </c>
      <c r="CE76" t="s">
        <v>490</v>
      </c>
      <c r="CF76" t="s">
        <v>490</v>
      </c>
      <c r="CG76" t="s">
        <v>489</v>
      </c>
      <c r="CH76" t="s">
        <v>489</v>
      </c>
      <c r="CI76" t="s">
        <v>490</v>
      </c>
      <c r="CJ76" t="s">
        <v>490</v>
      </c>
      <c r="CK76" t="s">
        <v>490</v>
      </c>
      <c r="CL76" t="s">
        <v>490</v>
      </c>
      <c r="CM76" t="s">
        <v>489</v>
      </c>
      <c r="CN76" t="s">
        <v>489</v>
      </c>
      <c r="CO76" t="s">
        <v>490</v>
      </c>
      <c r="CP76" t="s">
        <v>490</v>
      </c>
      <c r="EY76">
        <v>95</v>
      </c>
      <c r="EZ76">
        <v>0</v>
      </c>
      <c r="FA76">
        <v>5</v>
      </c>
      <c r="FB76" t="s">
        <v>543</v>
      </c>
      <c r="OH76" s="15">
        <v>0</v>
      </c>
      <c r="OI76" s="15">
        <v>0</v>
      </c>
      <c r="OJ76" s="15">
        <v>0</v>
      </c>
      <c r="OK76" s="15">
        <v>0</v>
      </c>
      <c r="OL76" s="15">
        <v>0</v>
      </c>
      <c r="OM76" s="15">
        <v>0</v>
      </c>
      <c r="ON76" s="15">
        <v>0</v>
      </c>
      <c r="OO76" s="15">
        <v>0</v>
      </c>
    </row>
    <row r="77" spans="1:486">
      <c r="A77">
        <v>11995</v>
      </c>
      <c r="B77" t="s">
        <v>503</v>
      </c>
      <c r="C77" t="s">
        <v>972</v>
      </c>
      <c r="D77" t="s">
        <v>534</v>
      </c>
      <c r="E77" t="s">
        <v>500</v>
      </c>
      <c r="F77" t="s">
        <v>517</v>
      </c>
      <c r="G77">
        <v>0</v>
      </c>
      <c r="H77" t="s">
        <v>487</v>
      </c>
      <c r="I77" t="s">
        <v>487</v>
      </c>
      <c r="J77" t="s">
        <v>487</v>
      </c>
      <c r="K77" t="s">
        <v>487</v>
      </c>
      <c r="L77" t="s">
        <v>489</v>
      </c>
      <c r="M77" t="s">
        <v>489</v>
      </c>
      <c r="N77" t="s">
        <v>490</v>
      </c>
      <c r="O77" t="s">
        <v>489</v>
      </c>
      <c r="P77" t="s">
        <v>490</v>
      </c>
      <c r="Q77" t="s">
        <v>490</v>
      </c>
      <c r="R77" t="s">
        <v>489</v>
      </c>
      <c r="S77" t="s">
        <v>489</v>
      </c>
      <c r="T77" t="s">
        <v>489</v>
      </c>
      <c r="U77" t="s">
        <v>489</v>
      </c>
      <c r="V77" t="s">
        <v>490</v>
      </c>
      <c r="W77" t="s">
        <v>489</v>
      </c>
      <c r="X77" t="s">
        <v>489</v>
      </c>
      <c r="Y77" t="s">
        <v>490</v>
      </c>
      <c r="Z77" t="s">
        <v>490</v>
      </c>
      <c r="AA77" t="s">
        <v>490</v>
      </c>
      <c r="AB77" t="s">
        <v>489</v>
      </c>
      <c r="AC77" t="s">
        <v>490</v>
      </c>
      <c r="AD77" t="s">
        <v>490</v>
      </c>
      <c r="AE77" t="s">
        <v>489</v>
      </c>
      <c r="AF77" t="s">
        <v>490</v>
      </c>
      <c r="AG77" t="s">
        <v>490</v>
      </c>
      <c r="AH77" t="s">
        <v>489</v>
      </c>
      <c r="AI77" t="s">
        <v>489</v>
      </c>
      <c r="AJ77" t="s">
        <v>489</v>
      </c>
      <c r="AK77" t="s">
        <v>490</v>
      </c>
      <c r="AL77" t="s">
        <v>490</v>
      </c>
      <c r="AM77" t="s">
        <v>490</v>
      </c>
      <c r="AN77" t="s">
        <v>489</v>
      </c>
      <c r="AO77" t="s">
        <v>490</v>
      </c>
      <c r="AP77" t="s">
        <v>490</v>
      </c>
      <c r="AQ77" t="s">
        <v>489</v>
      </c>
      <c r="AR77" t="s">
        <v>490</v>
      </c>
      <c r="AS77" t="s">
        <v>490</v>
      </c>
      <c r="AT77" t="s">
        <v>489</v>
      </c>
      <c r="AU77" t="s">
        <v>490</v>
      </c>
      <c r="AV77" t="s">
        <v>490</v>
      </c>
      <c r="AW77" t="s">
        <v>489</v>
      </c>
      <c r="AX77" t="s">
        <v>489</v>
      </c>
      <c r="AY77" t="s">
        <v>490</v>
      </c>
      <c r="AZ77" t="s">
        <v>490</v>
      </c>
      <c r="BA77" t="s">
        <v>489</v>
      </c>
      <c r="BB77" t="s">
        <v>490</v>
      </c>
      <c r="BC77" t="s">
        <v>490</v>
      </c>
      <c r="BD77" t="s">
        <v>489</v>
      </c>
      <c r="BE77" t="s">
        <v>490</v>
      </c>
      <c r="BF77" t="s">
        <v>490</v>
      </c>
      <c r="BG77" t="s">
        <v>489</v>
      </c>
      <c r="BH77" t="s">
        <v>490</v>
      </c>
      <c r="BI77" t="s">
        <v>490</v>
      </c>
      <c r="BJ77" t="s">
        <v>489</v>
      </c>
      <c r="BK77" t="s">
        <v>489</v>
      </c>
      <c r="BL77" t="s">
        <v>490</v>
      </c>
      <c r="BM77" t="s">
        <v>490</v>
      </c>
      <c r="BN77" t="s">
        <v>490</v>
      </c>
      <c r="BO77" t="s">
        <v>489</v>
      </c>
      <c r="BP77" t="s">
        <v>490</v>
      </c>
      <c r="BQ77" t="s">
        <v>490</v>
      </c>
      <c r="BR77" t="s">
        <v>489</v>
      </c>
      <c r="BS77" t="s">
        <v>490</v>
      </c>
      <c r="BT77" t="s">
        <v>490</v>
      </c>
      <c r="BU77" t="s">
        <v>489</v>
      </c>
      <c r="CB77" t="s">
        <v>490</v>
      </c>
      <c r="CC77" t="s">
        <v>490</v>
      </c>
      <c r="CD77" t="s">
        <v>489</v>
      </c>
      <c r="CE77" t="s">
        <v>490</v>
      </c>
      <c r="CF77" t="s">
        <v>490</v>
      </c>
      <c r="CG77" t="s">
        <v>489</v>
      </c>
      <c r="CH77" t="s">
        <v>489</v>
      </c>
      <c r="CI77" t="s">
        <v>489</v>
      </c>
      <c r="CJ77" t="s">
        <v>490</v>
      </c>
      <c r="CK77" t="s">
        <v>490</v>
      </c>
      <c r="CL77" t="s">
        <v>490</v>
      </c>
      <c r="CM77" t="s">
        <v>489</v>
      </c>
      <c r="CN77" t="s">
        <v>490</v>
      </c>
      <c r="CO77" t="s">
        <v>490</v>
      </c>
      <c r="CP77" t="s">
        <v>489</v>
      </c>
      <c r="DI77" t="s">
        <v>490</v>
      </c>
      <c r="DJ77" t="s">
        <v>490</v>
      </c>
      <c r="DK77" t="s">
        <v>489</v>
      </c>
      <c r="DL77" t="s">
        <v>489</v>
      </c>
      <c r="DM77" t="s">
        <v>489</v>
      </c>
      <c r="DN77" t="s">
        <v>490</v>
      </c>
      <c r="DO77" t="s">
        <v>490</v>
      </c>
      <c r="DP77" t="s">
        <v>489</v>
      </c>
      <c r="DQ77" t="s">
        <v>490</v>
      </c>
      <c r="DR77" t="s">
        <v>489</v>
      </c>
      <c r="DS77" t="s">
        <v>489</v>
      </c>
      <c r="DT77" t="s">
        <v>490</v>
      </c>
      <c r="DU77" t="s">
        <v>489</v>
      </c>
      <c r="DV77" t="s">
        <v>489</v>
      </c>
      <c r="DW77" t="s">
        <v>490</v>
      </c>
      <c r="DX77" t="s">
        <v>490</v>
      </c>
      <c r="DY77" t="s">
        <v>490</v>
      </c>
      <c r="DZ77" t="s">
        <v>489</v>
      </c>
      <c r="EA77" t="s">
        <v>490</v>
      </c>
      <c r="EB77" t="s">
        <v>489</v>
      </c>
      <c r="EC77" t="s">
        <v>490</v>
      </c>
      <c r="ED77" t="s">
        <v>490</v>
      </c>
      <c r="EE77" t="s">
        <v>490</v>
      </c>
      <c r="EF77" t="s">
        <v>489</v>
      </c>
      <c r="EG77" t="s">
        <v>490</v>
      </c>
      <c r="EH77" t="s">
        <v>490</v>
      </c>
      <c r="EI77" t="s">
        <v>489</v>
      </c>
      <c r="EJ77" t="s">
        <v>490</v>
      </c>
      <c r="EK77" t="s">
        <v>490</v>
      </c>
      <c r="EL77" t="s">
        <v>489</v>
      </c>
      <c r="EM77" t="s">
        <v>490</v>
      </c>
      <c r="EN77" t="s">
        <v>490</v>
      </c>
      <c r="EO77" t="s">
        <v>489</v>
      </c>
      <c r="EP77" t="s">
        <v>490</v>
      </c>
      <c r="EQ77" t="s">
        <v>490</v>
      </c>
      <c r="ER77" t="s">
        <v>489</v>
      </c>
      <c r="ES77" t="s">
        <v>490</v>
      </c>
      <c r="ET77" t="s">
        <v>489</v>
      </c>
      <c r="EU77" t="s">
        <v>490</v>
      </c>
      <c r="EV77" t="s">
        <v>490</v>
      </c>
      <c r="EW77" t="s">
        <v>490</v>
      </c>
      <c r="EX77" t="s">
        <v>489</v>
      </c>
      <c r="EY77">
        <v>90</v>
      </c>
      <c r="EZ77">
        <v>60</v>
      </c>
      <c r="FA77">
        <v>40</v>
      </c>
      <c r="FB77" t="s">
        <v>543</v>
      </c>
      <c r="OH77" s="15">
        <v>1</v>
      </c>
      <c r="OI77" s="15">
        <v>8</v>
      </c>
      <c r="OJ77" s="15">
        <v>3</v>
      </c>
      <c r="OK77" s="15">
        <v>1</v>
      </c>
      <c r="OL77" s="15">
        <v>1</v>
      </c>
      <c r="OM77" s="15">
        <v>8</v>
      </c>
      <c r="ON77" s="15">
        <v>2</v>
      </c>
      <c r="OO77" s="15">
        <v>1</v>
      </c>
      <c r="OQ77" t="s">
        <v>488</v>
      </c>
      <c r="OR77" t="s">
        <v>488</v>
      </c>
      <c r="OY77">
        <v>90</v>
      </c>
      <c r="OZ77">
        <v>100</v>
      </c>
      <c r="PA77">
        <v>0</v>
      </c>
      <c r="PB77">
        <v>0</v>
      </c>
      <c r="PC77">
        <v>0</v>
      </c>
      <c r="PD77">
        <v>10</v>
      </c>
      <c r="PE77">
        <v>0</v>
      </c>
      <c r="PF77">
        <v>0</v>
      </c>
      <c r="PG77">
        <v>0</v>
      </c>
      <c r="PH77">
        <v>0</v>
      </c>
      <c r="PI77">
        <v>10</v>
      </c>
      <c r="PJ77">
        <v>0</v>
      </c>
      <c r="PK77">
        <v>0</v>
      </c>
      <c r="PL77">
        <v>0</v>
      </c>
      <c r="PM77">
        <v>0</v>
      </c>
      <c r="PN77">
        <v>0</v>
      </c>
      <c r="PO77">
        <v>0</v>
      </c>
      <c r="PP77">
        <v>0</v>
      </c>
      <c r="PQ77">
        <v>0</v>
      </c>
      <c r="PR77">
        <v>0</v>
      </c>
      <c r="PT77" t="s">
        <v>488</v>
      </c>
      <c r="PU77" t="s">
        <v>515</v>
      </c>
      <c r="PV77">
        <v>300</v>
      </c>
      <c r="PW77">
        <v>0</v>
      </c>
      <c r="PX77">
        <v>300</v>
      </c>
      <c r="PY77" t="s">
        <v>493</v>
      </c>
      <c r="PZ77" t="s">
        <v>493</v>
      </c>
      <c r="QA77">
        <v>20</v>
      </c>
      <c r="QB77">
        <v>80</v>
      </c>
      <c r="QC77">
        <v>90</v>
      </c>
      <c r="QD77">
        <v>10</v>
      </c>
      <c r="QE77" t="s">
        <v>494</v>
      </c>
      <c r="QF77">
        <v>0</v>
      </c>
      <c r="QG77">
        <v>5</v>
      </c>
      <c r="QH77">
        <v>30</v>
      </c>
      <c r="QI77">
        <v>0</v>
      </c>
      <c r="QJ77">
        <v>20</v>
      </c>
      <c r="QK77">
        <v>0</v>
      </c>
      <c r="QL77">
        <v>20</v>
      </c>
      <c r="QM77">
        <v>25</v>
      </c>
      <c r="QN77">
        <v>0</v>
      </c>
      <c r="QP77">
        <v>10</v>
      </c>
      <c r="QQ77">
        <v>10</v>
      </c>
      <c r="QR77">
        <v>5</v>
      </c>
      <c r="QS77">
        <v>5</v>
      </c>
      <c r="QT77">
        <v>5</v>
      </c>
      <c r="QU77">
        <v>20</v>
      </c>
      <c r="QV77">
        <v>5</v>
      </c>
      <c r="QW77">
        <v>40</v>
      </c>
      <c r="QX77">
        <v>0</v>
      </c>
      <c r="QZ77">
        <v>0</v>
      </c>
      <c r="RA77">
        <v>4</v>
      </c>
      <c r="RB77" t="s">
        <v>489</v>
      </c>
      <c r="RC77" t="s">
        <v>490</v>
      </c>
      <c r="RD77" t="s">
        <v>490</v>
      </c>
      <c r="RE77" t="s">
        <v>489</v>
      </c>
      <c r="RF77" t="s">
        <v>490</v>
      </c>
      <c r="RG77" t="s">
        <v>490</v>
      </c>
      <c r="RH77" t="s">
        <v>490</v>
      </c>
      <c r="RI77" t="s">
        <v>490</v>
      </c>
    </row>
    <row r="78" spans="1:486">
      <c r="A78">
        <v>11503</v>
      </c>
      <c r="B78" t="s">
        <v>503</v>
      </c>
      <c r="C78" t="s">
        <v>972</v>
      </c>
      <c r="D78" t="s">
        <v>534</v>
      </c>
      <c r="E78" t="s">
        <v>500</v>
      </c>
      <c r="F78" t="s">
        <v>505</v>
      </c>
      <c r="G78">
        <v>2.5</v>
      </c>
      <c r="H78" t="s">
        <v>487</v>
      </c>
      <c r="I78" t="s">
        <v>487</v>
      </c>
      <c r="J78" t="s">
        <v>488</v>
      </c>
      <c r="K78" t="s">
        <v>488</v>
      </c>
      <c r="L78" t="s">
        <v>489</v>
      </c>
      <c r="M78" t="s">
        <v>489</v>
      </c>
      <c r="N78" t="s">
        <v>490</v>
      </c>
      <c r="O78" t="s">
        <v>489</v>
      </c>
      <c r="P78" t="s">
        <v>490</v>
      </c>
      <c r="Q78" t="s">
        <v>489</v>
      </c>
      <c r="R78" t="s">
        <v>490</v>
      </c>
      <c r="S78" t="s">
        <v>490</v>
      </c>
      <c r="T78" t="s">
        <v>490</v>
      </c>
      <c r="U78" t="s">
        <v>490</v>
      </c>
      <c r="V78" t="s">
        <v>489</v>
      </c>
      <c r="W78" t="s">
        <v>489</v>
      </c>
      <c r="X78" t="s">
        <v>490</v>
      </c>
      <c r="Y78" t="s">
        <v>490</v>
      </c>
      <c r="Z78" t="s">
        <v>490</v>
      </c>
      <c r="AA78" t="s">
        <v>490</v>
      </c>
      <c r="AB78" t="s">
        <v>489</v>
      </c>
      <c r="AC78" t="s">
        <v>489</v>
      </c>
      <c r="AD78" t="s">
        <v>490</v>
      </c>
      <c r="AE78" t="s">
        <v>490</v>
      </c>
      <c r="AF78" t="s">
        <v>490</v>
      </c>
      <c r="AG78" t="s">
        <v>490</v>
      </c>
      <c r="AH78" t="s">
        <v>489</v>
      </c>
      <c r="AI78" t="s">
        <v>489</v>
      </c>
      <c r="AJ78" t="s">
        <v>490</v>
      </c>
      <c r="AK78" t="s">
        <v>490</v>
      </c>
      <c r="AL78" t="s">
        <v>490</v>
      </c>
      <c r="AM78" t="s">
        <v>490</v>
      </c>
      <c r="AN78" t="s">
        <v>489</v>
      </c>
      <c r="AO78" t="s">
        <v>490</v>
      </c>
      <c r="AP78" t="s">
        <v>490</v>
      </c>
      <c r="AQ78" t="s">
        <v>489</v>
      </c>
      <c r="AR78" t="s">
        <v>490</v>
      </c>
      <c r="AS78" t="s">
        <v>490</v>
      </c>
      <c r="AT78" t="s">
        <v>489</v>
      </c>
      <c r="AU78" t="s">
        <v>490</v>
      </c>
      <c r="AV78" t="s">
        <v>489</v>
      </c>
      <c r="AW78" t="s">
        <v>490</v>
      </c>
      <c r="AX78" t="s">
        <v>489</v>
      </c>
      <c r="AY78" t="s">
        <v>490</v>
      </c>
      <c r="AZ78" t="s">
        <v>490</v>
      </c>
      <c r="BA78" t="s">
        <v>490</v>
      </c>
      <c r="BB78" t="s">
        <v>490</v>
      </c>
      <c r="BC78" t="s">
        <v>489</v>
      </c>
      <c r="BD78" t="s">
        <v>489</v>
      </c>
      <c r="BE78" t="s">
        <v>490</v>
      </c>
      <c r="BF78" t="s">
        <v>490</v>
      </c>
      <c r="BG78" t="s">
        <v>489</v>
      </c>
      <c r="BH78" t="s">
        <v>490</v>
      </c>
      <c r="BI78" t="s">
        <v>490</v>
      </c>
      <c r="BJ78" t="s">
        <v>489</v>
      </c>
      <c r="BK78" t="s">
        <v>490</v>
      </c>
      <c r="BL78" t="s">
        <v>490</v>
      </c>
      <c r="BM78" t="s">
        <v>489</v>
      </c>
      <c r="BN78" t="s">
        <v>490</v>
      </c>
      <c r="BO78" t="s">
        <v>490</v>
      </c>
      <c r="BP78" t="s">
        <v>490</v>
      </c>
      <c r="BQ78" t="s">
        <v>490</v>
      </c>
      <c r="BR78" t="s">
        <v>489</v>
      </c>
      <c r="BS78" t="s">
        <v>489</v>
      </c>
      <c r="BT78" t="s">
        <v>490</v>
      </c>
      <c r="BU78" t="s">
        <v>490</v>
      </c>
      <c r="CB78" t="s">
        <v>490</v>
      </c>
      <c r="CC78" t="s">
        <v>490</v>
      </c>
      <c r="CD78" t="s">
        <v>489</v>
      </c>
      <c r="CE78" t="s">
        <v>490</v>
      </c>
      <c r="CF78" t="s">
        <v>490</v>
      </c>
      <c r="CG78" t="s">
        <v>489</v>
      </c>
      <c r="CH78" t="s">
        <v>489</v>
      </c>
      <c r="CI78" t="s">
        <v>490</v>
      </c>
      <c r="CJ78" t="s">
        <v>490</v>
      </c>
      <c r="CK78" t="s">
        <v>489</v>
      </c>
      <c r="CL78" t="s">
        <v>490</v>
      </c>
      <c r="CM78" t="s">
        <v>490</v>
      </c>
      <c r="CN78" t="s">
        <v>489</v>
      </c>
      <c r="CO78" t="s">
        <v>490</v>
      </c>
      <c r="CP78" t="s">
        <v>490</v>
      </c>
      <c r="CW78" t="s">
        <v>489</v>
      </c>
      <c r="CX78" t="s">
        <v>490</v>
      </c>
      <c r="CY78" t="s">
        <v>490</v>
      </c>
      <c r="CZ78" t="s">
        <v>490</v>
      </c>
      <c r="DA78" t="s">
        <v>490</v>
      </c>
      <c r="DB78" t="s">
        <v>489</v>
      </c>
      <c r="DC78" t="s">
        <v>490</v>
      </c>
      <c r="DD78" t="s">
        <v>490</v>
      </c>
      <c r="DE78" t="s">
        <v>489</v>
      </c>
      <c r="DF78" t="s">
        <v>489</v>
      </c>
      <c r="DG78" t="s">
        <v>490</v>
      </c>
      <c r="DH78" t="s">
        <v>490</v>
      </c>
      <c r="EY78">
        <v>50</v>
      </c>
      <c r="EZ78">
        <v>35</v>
      </c>
      <c r="FA78">
        <v>30</v>
      </c>
      <c r="FB78" t="s">
        <v>543</v>
      </c>
      <c r="OH78" s="15">
        <v>2</v>
      </c>
      <c r="OI78" s="15">
        <v>2</v>
      </c>
      <c r="OJ78" s="15">
        <v>4</v>
      </c>
      <c r="OK78" s="15">
        <v>1</v>
      </c>
      <c r="OL78" s="15">
        <v>7</v>
      </c>
      <c r="OM78" s="15">
        <v>6</v>
      </c>
      <c r="ON78" s="15">
        <v>2</v>
      </c>
      <c r="OO78" s="15">
        <v>7</v>
      </c>
      <c r="OQ78" t="s">
        <v>488</v>
      </c>
      <c r="OR78" t="s">
        <v>488</v>
      </c>
      <c r="OY78">
        <v>0</v>
      </c>
      <c r="OZ78">
        <v>70</v>
      </c>
      <c r="PA78">
        <v>0</v>
      </c>
      <c r="PB78">
        <v>0</v>
      </c>
      <c r="PC78">
        <v>0</v>
      </c>
      <c r="PD78">
        <v>0</v>
      </c>
      <c r="PE78">
        <v>30</v>
      </c>
      <c r="PF78">
        <v>0</v>
      </c>
      <c r="PG78">
        <v>0</v>
      </c>
      <c r="PH78">
        <v>0</v>
      </c>
      <c r="PI78">
        <v>0</v>
      </c>
      <c r="PJ78">
        <v>70</v>
      </c>
      <c r="PK78">
        <v>0</v>
      </c>
      <c r="PL78">
        <v>0</v>
      </c>
      <c r="PM78">
        <v>0</v>
      </c>
      <c r="PN78">
        <v>0</v>
      </c>
      <c r="PO78">
        <v>40</v>
      </c>
      <c r="PP78">
        <v>0</v>
      </c>
      <c r="PQ78">
        <v>0</v>
      </c>
      <c r="PR78">
        <v>0</v>
      </c>
      <c r="PT78" t="s">
        <v>488</v>
      </c>
      <c r="PU78" t="s">
        <v>497</v>
      </c>
      <c r="PV78">
        <v>0</v>
      </c>
      <c r="PW78">
        <v>0</v>
      </c>
      <c r="PX78">
        <v>0</v>
      </c>
      <c r="PY78" t="s">
        <v>493</v>
      </c>
      <c r="PZ78" t="s">
        <v>493</v>
      </c>
      <c r="QA78">
        <v>0</v>
      </c>
      <c r="QB78">
        <v>100</v>
      </c>
      <c r="QC78">
        <v>10</v>
      </c>
      <c r="QD78">
        <v>90</v>
      </c>
      <c r="QE78" t="s">
        <v>494</v>
      </c>
    </row>
    <row r="79" spans="1:486">
      <c r="A79">
        <v>12032</v>
      </c>
      <c r="B79" t="s">
        <v>503</v>
      </c>
      <c r="C79" t="s">
        <v>972</v>
      </c>
      <c r="D79" t="s">
        <v>534</v>
      </c>
      <c r="E79" t="s">
        <v>500</v>
      </c>
      <c r="F79" t="s">
        <v>496</v>
      </c>
      <c r="G79">
        <v>65</v>
      </c>
      <c r="H79" t="s">
        <v>487</v>
      </c>
      <c r="I79" t="s">
        <v>487</v>
      </c>
      <c r="J79" t="s">
        <v>488</v>
      </c>
      <c r="K79" t="s">
        <v>487</v>
      </c>
      <c r="L79" t="s">
        <v>489</v>
      </c>
      <c r="M79" t="s">
        <v>489</v>
      </c>
      <c r="N79" t="s">
        <v>489</v>
      </c>
      <c r="O79" t="s">
        <v>489</v>
      </c>
      <c r="P79" t="s">
        <v>490</v>
      </c>
      <c r="Q79" t="s">
        <v>489</v>
      </c>
      <c r="R79" t="s">
        <v>489</v>
      </c>
      <c r="S79" t="s">
        <v>489</v>
      </c>
      <c r="T79" t="s">
        <v>489</v>
      </c>
      <c r="U79" t="s">
        <v>490</v>
      </c>
      <c r="V79" t="s">
        <v>490</v>
      </c>
      <c r="W79" t="s">
        <v>489</v>
      </c>
      <c r="X79" t="s">
        <v>490</v>
      </c>
      <c r="Y79" t="s">
        <v>490</v>
      </c>
      <c r="Z79" t="s">
        <v>490</v>
      </c>
      <c r="AA79" t="s">
        <v>489</v>
      </c>
      <c r="AB79" t="s">
        <v>490</v>
      </c>
      <c r="AC79" t="s">
        <v>490</v>
      </c>
      <c r="AD79" t="s">
        <v>490</v>
      </c>
      <c r="AE79" t="s">
        <v>489</v>
      </c>
      <c r="AF79" t="s">
        <v>489</v>
      </c>
      <c r="AG79" t="s">
        <v>490</v>
      </c>
      <c r="AH79" t="s">
        <v>490</v>
      </c>
      <c r="AI79" t="s">
        <v>489</v>
      </c>
      <c r="AJ79" t="s">
        <v>490</v>
      </c>
      <c r="AK79" t="s">
        <v>490</v>
      </c>
      <c r="AL79" t="s">
        <v>490</v>
      </c>
      <c r="AM79" t="s">
        <v>490</v>
      </c>
      <c r="AN79" t="s">
        <v>489</v>
      </c>
      <c r="AO79" t="s">
        <v>490</v>
      </c>
      <c r="AP79" t="s">
        <v>490</v>
      </c>
      <c r="AQ79" t="s">
        <v>489</v>
      </c>
      <c r="AR79" t="s">
        <v>489</v>
      </c>
      <c r="AS79" t="s">
        <v>490</v>
      </c>
      <c r="AT79" t="s">
        <v>490</v>
      </c>
      <c r="AU79" t="s">
        <v>489</v>
      </c>
      <c r="AV79" t="s">
        <v>490</v>
      </c>
      <c r="AW79" t="s">
        <v>490</v>
      </c>
      <c r="AX79" t="s">
        <v>489</v>
      </c>
      <c r="AY79" t="s">
        <v>489</v>
      </c>
      <c r="AZ79" t="s">
        <v>490</v>
      </c>
      <c r="BA79" t="s">
        <v>489</v>
      </c>
      <c r="BB79" t="s">
        <v>489</v>
      </c>
      <c r="BC79" t="s">
        <v>490</v>
      </c>
      <c r="BD79" t="s">
        <v>489</v>
      </c>
      <c r="BE79" t="s">
        <v>489</v>
      </c>
      <c r="BF79" t="s">
        <v>490</v>
      </c>
      <c r="BG79" t="s">
        <v>489</v>
      </c>
      <c r="BH79" t="s">
        <v>489</v>
      </c>
      <c r="BI79" t="s">
        <v>490</v>
      </c>
      <c r="BJ79" t="s">
        <v>489</v>
      </c>
      <c r="BK79" t="s">
        <v>489</v>
      </c>
      <c r="BL79" t="s">
        <v>490</v>
      </c>
      <c r="BM79" t="s">
        <v>489</v>
      </c>
      <c r="BN79" t="s">
        <v>489</v>
      </c>
      <c r="BO79" t="s">
        <v>490</v>
      </c>
      <c r="BP79" t="s">
        <v>490</v>
      </c>
      <c r="BQ79" t="s">
        <v>490</v>
      </c>
      <c r="BR79" t="s">
        <v>489</v>
      </c>
      <c r="BS79" t="s">
        <v>490</v>
      </c>
      <c r="BT79" t="s">
        <v>490</v>
      </c>
      <c r="BU79" t="s">
        <v>489</v>
      </c>
      <c r="BV79" t="s">
        <v>489</v>
      </c>
      <c r="BW79" t="s">
        <v>490</v>
      </c>
      <c r="BX79" t="s">
        <v>490</v>
      </c>
      <c r="BY79" t="s">
        <v>489</v>
      </c>
      <c r="BZ79" t="s">
        <v>490</v>
      </c>
      <c r="CA79" t="s">
        <v>490</v>
      </c>
      <c r="CB79" t="s">
        <v>489</v>
      </c>
      <c r="CC79" t="s">
        <v>490</v>
      </c>
      <c r="CD79" t="s">
        <v>490</v>
      </c>
      <c r="CE79" t="s">
        <v>490</v>
      </c>
      <c r="CF79" t="s">
        <v>490</v>
      </c>
      <c r="CG79" t="s">
        <v>489</v>
      </c>
      <c r="CH79" t="s">
        <v>489</v>
      </c>
      <c r="CI79" t="s">
        <v>490</v>
      </c>
      <c r="CJ79" t="s">
        <v>490</v>
      </c>
      <c r="CK79" t="s">
        <v>489</v>
      </c>
      <c r="CL79" t="s">
        <v>490</v>
      </c>
      <c r="CM79" t="s">
        <v>490</v>
      </c>
      <c r="CN79" t="s">
        <v>489</v>
      </c>
      <c r="CO79" t="s">
        <v>490</v>
      </c>
      <c r="CP79" t="s">
        <v>490</v>
      </c>
      <c r="CW79" t="s">
        <v>489</v>
      </c>
      <c r="CX79" t="s">
        <v>490</v>
      </c>
      <c r="CY79" t="s">
        <v>490</v>
      </c>
      <c r="CZ79" t="s">
        <v>490</v>
      </c>
      <c r="DA79" t="s">
        <v>490</v>
      </c>
      <c r="DB79" t="s">
        <v>489</v>
      </c>
      <c r="DC79" t="s">
        <v>490</v>
      </c>
      <c r="DD79" t="s">
        <v>490</v>
      </c>
      <c r="DE79" t="s">
        <v>489</v>
      </c>
      <c r="DF79" t="s">
        <v>489</v>
      </c>
      <c r="DG79" t="s">
        <v>490</v>
      </c>
      <c r="DH79" t="s">
        <v>490</v>
      </c>
      <c r="DI79" t="s">
        <v>490</v>
      </c>
      <c r="DJ79" t="s">
        <v>490</v>
      </c>
      <c r="DK79" t="s">
        <v>489</v>
      </c>
      <c r="DL79" t="s">
        <v>490</v>
      </c>
      <c r="DM79" t="s">
        <v>489</v>
      </c>
      <c r="DN79" t="s">
        <v>490</v>
      </c>
      <c r="DO79" t="s">
        <v>490</v>
      </c>
      <c r="DP79" t="s">
        <v>490</v>
      </c>
      <c r="DQ79" t="s">
        <v>489</v>
      </c>
      <c r="DR79" t="s">
        <v>489</v>
      </c>
      <c r="DS79" t="s">
        <v>489</v>
      </c>
      <c r="DT79" t="s">
        <v>490</v>
      </c>
      <c r="DU79" t="s">
        <v>489</v>
      </c>
      <c r="DV79" t="s">
        <v>489</v>
      </c>
      <c r="DW79" t="s">
        <v>490</v>
      </c>
      <c r="DX79" t="s">
        <v>489</v>
      </c>
      <c r="DY79" t="s">
        <v>490</v>
      </c>
      <c r="DZ79" t="s">
        <v>490</v>
      </c>
      <c r="EA79" t="s">
        <v>490</v>
      </c>
      <c r="EB79" t="s">
        <v>489</v>
      </c>
      <c r="EC79" t="s">
        <v>490</v>
      </c>
      <c r="ED79" t="s">
        <v>490</v>
      </c>
      <c r="EE79" t="s">
        <v>490</v>
      </c>
      <c r="EF79" t="s">
        <v>489</v>
      </c>
      <c r="EG79" t="s">
        <v>490</v>
      </c>
      <c r="EH79" t="s">
        <v>490</v>
      </c>
      <c r="EI79" t="s">
        <v>489</v>
      </c>
      <c r="EJ79" t="s">
        <v>490</v>
      </c>
      <c r="EK79" t="s">
        <v>489</v>
      </c>
      <c r="EL79" t="s">
        <v>490</v>
      </c>
      <c r="EM79" t="s">
        <v>490</v>
      </c>
      <c r="EN79" t="s">
        <v>490</v>
      </c>
      <c r="EO79" t="s">
        <v>489</v>
      </c>
      <c r="EP79" t="s">
        <v>490</v>
      </c>
      <c r="EQ79" t="s">
        <v>490</v>
      </c>
      <c r="ER79" t="s">
        <v>489</v>
      </c>
      <c r="ES79" t="s">
        <v>490</v>
      </c>
      <c r="ET79" t="s">
        <v>490</v>
      </c>
      <c r="EU79" t="s">
        <v>489</v>
      </c>
      <c r="EV79" t="s">
        <v>490</v>
      </c>
      <c r="EW79" t="s">
        <v>490</v>
      </c>
      <c r="EX79" t="s">
        <v>489</v>
      </c>
      <c r="EY79">
        <v>40</v>
      </c>
      <c r="EZ79">
        <v>5</v>
      </c>
      <c r="FA79">
        <v>25</v>
      </c>
      <c r="FB79" t="s">
        <v>543</v>
      </c>
      <c r="OH79" s="15">
        <v>8</v>
      </c>
      <c r="OI79" s="15">
        <v>6</v>
      </c>
      <c r="OJ79" s="15">
        <v>7</v>
      </c>
      <c r="OK79" s="15">
        <v>2</v>
      </c>
      <c r="OL79" s="15">
        <v>9</v>
      </c>
      <c r="OM79" s="15">
        <v>9</v>
      </c>
      <c r="ON79" s="15">
        <v>2</v>
      </c>
      <c r="OO79" s="15">
        <v>5</v>
      </c>
      <c r="OQ79" t="s">
        <v>488</v>
      </c>
      <c r="OR79" t="s">
        <v>488</v>
      </c>
      <c r="OY79">
        <v>0</v>
      </c>
      <c r="OZ79">
        <v>0</v>
      </c>
      <c r="PA79">
        <v>25</v>
      </c>
      <c r="PB79">
        <v>0</v>
      </c>
      <c r="PC79">
        <v>0</v>
      </c>
      <c r="PD79">
        <v>0</v>
      </c>
      <c r="PE79">
        <v>0</v>
      </c>
      <c r="PF79">
        <v>0</v>
      </c>
      <c r="PG79">
        <v>0</v>
      </c>
      <c r="PH79">
        <v>0</v>
      </c>
      <c r="PI79">
        <v>25</v>
      </c>
      <c r="PJ79">
        <v>20</v>
      </c>
      <c r="PK79">
        <v>25</v>
      </c>
      <c r="PL79">
        <v>0</v>
      </c>
      <c r="PM79">
        <v>0</v>
      </c>
      <c r="PN79">
        <v>0</v>
      </c>
      <c r="PO79">
        <v>0</v>
      </c>
      <c r="PP79">
        <v>0</v>
      </c>
      <c r="PQ79">
        <v>0</v>
      </c>
      <c r="PR79">
        <v>0</v>
      </c>
      <c r="PT79" t="s">
        <v>488</v>
      </c>
      <c r="PU79" t="s">
        <v>497</v>
      </c>
      <c r="PV79">
        <v>25000</v>
      </c>
      <c r="PW79">
        <v>0</v>
      </c>
      <c r="PX79">
        <v>25000</v>
      </c>
      <c r="PY79" t="s">
        <v>493</v>
      </c>
      <c r="PZ79" t="s">
        <v>493</v>
      </c>
      <c r="QA79">
        <v>60</v>
      </c>
      <c r="QB79">
        <v>40</v>
      </c>
      <c r="QC79">
        <v>100</v>
      </c>
      <c r="QD79">
        <v>0</v>
      </c>
      <c r="QE79" t="s">
        <v>508</v>
      </c>
      <c r="QZ79">
        <v>2</v>
      </c>
      <c r="RA79">
        <v>0</v>
      </c>
      <c r="RB79" t="s">
        <v>489</v>
      </c>
      <c r="RC79" t="s">
        <v>490</v>
      </c>
      <c r="RD79" t="s">
        <v>489</v>
      </c>
      <c r="RE79" t="s">
        <v>490</v>
      </c>
      <c r="RF79" t="s">
        <v>490</v>
      </c>
      <c r="RG79" t="s">
        <v>490</v>
      </c>
      <c r="RH79" t="s">
        <v>490</v>
      </c>
      <c r="RI79" t="s">
        <v>490</v>
      </c>
      <c r="RR79" t="s">
        <v>622</v>
      </c>
    </row>
    <row r="80" spans="1:486">
      <c r="A80">
        <v>11607</v>
      </c>
      <c r="B80" t="s">
        <v>503</v>
      </c>
      <c r="C80" t="s">
        <v>972</v>
      </c>
      <c r="D80" t="s">
        <v>534</v>
      </c>
      <c r="E80" t="s">
        <v>500</v>
      </c>
      <c r="F80" t="s">
        <v>505</v>
      </c>
      <c r="G80">
        <v>1.3</v>
      </c>
      <c r="H80" t="s">
        <v>487</v>
      </c>
      <c r="I80" t="s">
        <v>487</v>
      </c>
      <c r="J80" t="s">
        <v>487</v>
      </c>
      <c r="K80" t="s">
        <v>488</v>
      </c>
      <c r="L80" t="s">
        <v>489</v>
      </c>
      <c r="M80" t="s">
        <v>489</v>
      </c>
      <c r="N80" t="s">
        <v>489</v>
      </c>
      <c r="O80" t="s">
        <v>489</v>
      </c>
      <c r="P80" t="s">
        <v>490</v>
      </c>
      <c r="Q80" t="s">
        <v>490</v>
      </c>
      <c r="R80" t="s">
        <v>490</v>
      </c>
      <c r="S80" t="s">
        <v>490</v>
      </c>
      <c r="T80" t="s">
        <v>489</v>
      </c>
      <c r="U80" t="s">
        <v>490</v>
      </c>
      <c r="V80" t="s">
        <v>490</v>
      </c>
      <c r="W80" t="s">
        <v>489</v>
      </c>
      <c r="X80" t="s">
        <v>490</v>
      </c>
      <c r="Y80" t="s">
        <v>490</v>
      </c>
      <c r="Z80" t="s">
        <v>490</v>
      </c>
      <c r="AA80" t="s">
        <v>490</v>
      </c>
      <c r="AB80" t="s">
        <v>489</v>
      </c>
      <c r="AC80" t="s">
        <v>489</v>
      </c>
      <c r="AD80" t="s">
        <v>490</v>
      </c>
      <c r="AE80" t="s">
        <v>490</v>
      </c>
      <c r="AF80" t="s">
        <v>489</v>
      </c>
      <c r="AG80" t="s">
        <v>490</v>
      </c>
      <c r="AH80" t="s">
        <v>490</v>
      </c>
      <c r="AI80" t="s">
        <v>489</v>
      </c>
      <c r="AJ80" t="s">
        <v>490</v>
      </c>
      <c r="AK80" t="s">
        <v>490</v>
      </c>
      <c r="AL80" t="s">
        <v>490</v>
      </c>
      <c r="AM80" t="s">
        <v>490</v>
      </c>
      <c r="AN80" t="s">
        <v>489</v>
      </c>
      <c r="AO80" t="s">
        <v>490</v>
      </c>
      <c r="AP80" t="s">
        <v>490</v>
      </c>
      <c r="AQ80" t="s">
        <v>489</v>
      </c>
      <c r="AR80" t="s">
        <v>490</v>
      </c>
      <c r="AS80" t="s">
        <v>490</v>
      </c>
      <c r="AT80" t="s">
        <v>489</v>
      </c>
      <c r="AU80" t="s">
        <v>490</v>
      </c>
      <c r="AV80" t="s">
        <v>490</v>
      </c>
      <c r="AW80" t="s">
        <v>489</v>
      </c>
      <c r="AX80" t="s">
        <v>489</v>
      </c>
      <c r="AY80" t="s">
        <v>490</v>
      </c>
      <c r="AZ80" t="s">
        <v>490</v>
      </c>
      <c r="BA80" t="s">
        <v>490</v>
      </c>
      <c r="BB80" t="s">
        <v>490</v>
      </c>
      <c r="BC80" t="s">
        <v>489</v>
      </c>
      <c r="BD80" t="s">
        <v>490</v>
      </c>
      <c r="BE80" t="s">
        <v>490</v>
      </c>
      <c r="BF80" t="s">
        <v>489</v>
      </c>
      <c r="BG80" t="s">
        <v>489</v>
      </c>
      <c r="BH80" t="s">
        <v>490</v>
      </c>
      <c r="BI80" t="s">
        <v>490</v>
      </c>
      <c r="BJ80" t="s">
        <v>489</v>
      </c>
      <c r="BK80" t="s">
        <v>489</v>
      </c>
      <c r="BL80" t="s">
        <v>490</v>
      </c>
      <c r="BM80" t="s">
        <v>489</v>
      </c>
      <c r="BN80" t="s">
        <v>490</v>
      </c>
      <c r="BO80" t="s">
        <v>490</v>
      </c>
      <c r="BP80" t="s">
        <v>490</v>
      </c>
      <c r="BQ80" t="s">
        <v>490</v>
      </c>
      <c r="BR80" t="s">
        <v>489</v>
      </c>
      <c r="BS80" t="s">
        <v>490</v>
      </c>
      <c r="BT80" t="s">
        <v>490</v>
      </c>
      <c r="BU80" t="s">
        <v>489</v>
      </c>
      <c r="BV80" t="s">
        <v>489</v>
      </c>
      <c r="BW80" t="s">
        <v>489</v>
      </c>
      <c r="BX80" t="s">
        <v>490</v>
      </c>
      <c r="BY80" t="s">
        <v>489</v>
      </c>
      <c r="BZ80" t="s">
        <v>489</v>
      </c>
      <c r="CA80" t="s">
        <v>490</v>
      </c>
      <c r="CB80" t="s">
        <v>489</v>
      </c>
      <c r="CC80" t="s">
        <v>490</v>
      </c>
      <c r="CD80" t="s">
        <v>490</v>
      </c>
      <c r="CE80" t="s">
        <v>490</v>
      </c>
      <c r="CF80" t="s">
        <v>490</v>
      </c>
      <c r="CG80" t="s">
        <v>489</v>
      </c>
      <c r="CH80" t="s">
        <v>489</v>
      </c>
      <c r="CI80" t="s">
        <v>490</v>
      </c>
      <c r="CJ80" t="s">
        <v>490</v>
      </c>
      <c r="CK80" t="s">
        <v>490</v>
      </c>
      <c r="CL80" t="s">
        <v>490</v>
      </c>
      <c r="CM80" t="s">
        <v>489</v>
      </c>
      <c r="CN80" t="s">
        <v>489</v>
      </c>
      <c r="CO80" t="s">
        <v>490</v>
      </c>
      <c r="CP80" t="s">
        <v>490</v>
      </c>
      <c r="EY80">
        <v>90</v>
      </c>
      <c r="EZ80">
        <v>35</v>
      </c>
      <c r="FA80">
        <v>65</v>
      </c>
      <c r="FB80" t="s">
        <v>543</v>
      </c>
      <c r="OH80" s="15">
        <v>8</v>
      </c>
      <c r="OI80" s="15">
        <v>8</v>
      </c>
      <c r="OJ80" s="15">
        <v>8</v>
      </c>
      <c r="OK80" s="15">
        <v>5</v>
      </c>
      <c r="OL80" s="15">
        <v>7</v>
      </c>
      <c r="OM80" s="15">
        <v>9</v>
      </c>
      <c r="ON80" s="15">
        <v>5</v>
      </c>
      <c r="OO80" s="15">
        <v>1</v>
      </c>
      <c r="OQ80" t="s">
        <v>488</v>
      </c>
      <c r="OR80" t="s">
        <v>488</v>
      </c>
      <c r="OY80">
        <v>90</v>
      </c>
      <c r="OZ80">
        <v>0</v>
      </c>
      <c r="PA80">
        <v>0</v>
      </c>
      <c r="PB80">
        <v>0</v>
      </c>
      <c r="PC80">
        <v>0</v>
      </c>
      <c r="PD80">
        <v>0</v>
      </c>
      <c r="PE80">
        <v>0</v>
      </c>
      <c r="PF80">
        <v>0</v>
      </c>
      <c r="PG80">
        <v>0</v>
      </c>
      <c r="PH80">
        <v>0</v>
      </c>
      <c r="PI80">
        <v>100</v>
      </c>
      <c r="PJ80">
        <v>70</v>
      </c>
      <c r="PK80">
        <v>70</v>
      </c>
      <c r="PL80">
        <v>70</v>
      </c>
      <c r="PM80">
        <v>70</v>
      </c>
      <c r="PN80">
        <v>70</v>
      </c>
      <c r="PO80">
        <v>0</v>
      </c>
      <c r="PP80">
        <v>0</v>
      </c>
      <c r="PQ80">
        <v>0</v>
      </c>
      <c r="PR80">
        <v>0</v>
      </c>
      <c r="PT80" t="s">
        <v>488</v>
      </c>
      <c r="PU80" t="s">
        <v>497</v>
      </c>
      <c r="PV80">
        <v>0</v>
      </c>
      <c r="PW80">
        <v>0</v>
      </c>
      <c r="PX80">
        <v>0</v>
      </c>
      <c r="PY80" t="s">
        <v>493</v>
      </c>
      <c r="PZ80" t="s">
        <v>493</v>
      </c>
      <c r="QA80">
        <v>50</v>
      </c>
      <c r="QB80">
        <v>50</v>
      </c>
      <c r="QC80">
        <v>95</v>
      </c>
      <c r="QD80">
        <v>5</v>
      </c>
      <c r="QE80" t="s">
        <v>508</v>
      </c>
      <c r="QZ80">
        <v>0</v>
      </c>
      <c r="RA80">
        <v>0.2</v>
      </c>
      <c r="RB80" t="s">
        <v>489</v>
      </c>
      <c r="RC80" t="s">
        <v>490</v>
      </c>
      <c r="RD80" t="s">
        <v>490</v>
      </c>
      <c r="RE80" t="s">
        <v>490</v>
      </c>
      <c r="RF80" t="s">
        <v>490</v>
      </c>
      <c r="RG80" t="s">
        <v>490</v>
      </c>
      <c r="RH80" t="s">
        <v>490</v>
      </c>
      <c r="RI80" t="s">
        <v>490</v>
      </c>
    </row>
    <row r="81" spans="1:486">
      <c r="A81">
        <v>1003378</v>
      </c>
      <c r="B81" t="s">
        <v>506</v>
      </c>
      <c r="C81" t="s">
        <v>974</v>
      </c>
      <c r="D81" t="s">
        <v>507</v>
      </c>
      <c r="E81" t="s">
        <v>500</v>
      </c>
      <c r="F81" t="s">
        <v>486</v>
      </c>
      <c r="G81">
        <v>120</v>
      </c>
      <c r="H81" t="s">
        <v>487</v>
      </c>
      <c r="I81" t="s">
        <v>487</v>
      </c>
      <c r="J81" t="s">
        <v>487</v>
      </c>
      <c r="K81" t="s">
        <v>487</v>
      </c>
      <c r="L81" t="s">
        <v>489</v>
      </c>
      <c r="M81" t="s">
        <v>489</v>
      </c>
      <c r="N81" t="s">
        <v>489</v>
      </c>
      <c r="O81" t="s">
        <v>490</v>
      </c>
      <c r="P81" t="s">
        <v>490</v>
      </c>
      <c r="Q81" t="s">
        <v>490</v>
      </c>
      <c r="R81" t="s">
        <v>489</v>
      </c>
      <c r="S81" t="s">
        <v>489</v>
      </c>
      <c r="T81" t="s">
        <v>489</v>
      </c>
      <c r="U81" t="s">
        <v>489</v>
      </c>
      <c r="V81" t="s">
        <v>490</v>
      </c>
      <c r="W81" t="s">
        <v>489</v>
      </c>
      <c r="X81" t="s">
        <v>489</v>
      </c>
      <c r="Y81" t="s">
        <v>490</v>
      </c>
      <c r="Z81" t="s">
        <v>490</v>
      </c>
      <c r="AA81" t="s">
        <v>490</v>
      </c>
      <c r="AB81" t="s">
        <v>489</v>
      </c>
      <c r="AC81" t="s">
        <v>489</v>
      </c>
      <c r="AD81" t="s">
        <v>489</v>
      </c>
      <c r="AE81" t="s">
        <v>490</v>
      </c>
      <c r="AF81" t="s">
        <v>490</v>
      </c>
      <c r="AG81" t="s">
        <v>489</v>
      </c>
      <c r="AH81" t="s">
        <v>490</v>
      </c>
      <c r="AI81" t="s">
        <v>489</v>
      </c>
      <c r="AJ81" t="s">
        <v>489</v>
      </c>
      <c r="AK81" t="s">
        <v>490</v>
      </c>
      <c r="AL81" t="s">
        <v>489</v>
      </c>
      <c r="AM81" t="s">
        <v>489</v>
      </c>
      <c r="AN81" t="s">
        <v>490</v>
      </c>
      <c r="AO81" t="s">
        <v>489</v>
      </c>
      <c r="AP81" t="s">
        <v>489</v>
      </c>
      <c r="AQ81" t="s">
        <v>490</v>
      </c>
      <c r="AR81" t="s">
        <v>489</v>
      </c>
      <c r="AS81" t="s">
        <v>489</v>
      </c>
      <c r="AT81" t="s">
        <v>490</v>
      </c>
      <c r="AU81" t="s">
        <v>489</v>
      </c>
      <c r="AV81" t="s">
        <v>489</v>
      </c>
      <c r="AW81" t="s">
        <v>490</v>
      </c>
      <c r="AX81" t="s">
        <v>489</v>
      </c>
      <c r="AY81" t="s">
        <v>489</v>
      </c>
      <c r="AZ81" t="s">
        <v>490</v>
      </c>
      <c r="BA81" t="s">
        <v>489</v>
      </c>
      <c r="BB81" t="s">
        <v>489</v>
      </c>
      <c r="BC81" t="s">
        <v>490</v>
      </c>
      <c r="BD81" t="s">
        <v>489</v>
      </c>
      <c r="BE81" t="s">
        <v>489</v>
      </c>
      <c r="BF81" t="s">
        <v>490</v>
      </c>
      <c r="BG81" t="s">
        <v>489</v>
      </c>
      <c r="BH81" t="s">
        <v>489</v>
      </c>
      <c r="BI81" t="s">
        <v>490</v>
      </c>
      <c r="BJ81" t="s">
        <v>489</v>
      </c>
      <c r="BK81" t="s">
        <v>489</v>
      </c>
      <c r="BL81" t="s">
        <v>490</v>
      </c>
      <c r="BM81" t="s">
        <v>489</v>
      </c>
      <c r="BN81" t="s">
        <v>489</v>
      </c>
      <c r="BO81" t="s">
        <v>490</v>
      </c>
      <c r="BP81" t="s">
        <v>489</v>
      </c>
      <c r="BQ81" t="s">
        <v>489</v>
      </c>
      <c r="BR81" t="s">
        <v>490</v>
      </c>
      <c r="BS81" t="s">
        <v>489</v>
      </c>
      <c r="BT81" t="s">
        <v>489</v>
      </c>
      <c r="BU81" t="s">
        <v>490</v>
      </c>
      <c r="BV81" t="s">
        <v>489</v>
      </c>
      <c r="BW81" t="s">
        <v>489</v>
      </c>
      <c r="BX81" t="s">
        <v>490</v>
      </c>
      <c r="BY81" t="s">
        <v>489</v>
      </c>
      <c r="BZ81" t="s">
        <v>489</v>
      </c>
      <c r="CA81" t="s">
        <v>490</v>
      </c>
      <c r="DI81" t="s">
        <v>489</v>
      </c>
      <c r="DJ81" t="s">
        <v>490</v>
      </c>
      <c r="DK81" t="s">
        <v>490</v>
      </c>
      <c r="DL81" t="s">
        <v>489</v>
      </c>
      <c r="DM81" t="s">
        <v>490</v>
      </c>
      <c r="DN81" t="s">
        <v>490</v>
      </c>
      <c r="DO81" t="s">
        <v>490</v>
      </c>
      <c r="DP81" t="s">
        <v>490</v>
      </c>
      <c r="DQ81" t="s">
        <v>489</v>
      </c>
      <c r="DR81" t="s">
        <v>489</v>
      </c>
      <c r="DS81" t="s">
        <v>489</v>
      </c>
      <c r="DT81" t="s">
        <v>490</v>
      </c>
      <c r="DU81" t="s">
        <v>489</v>
      </c>
      <c r="DV81" t="s">
        <v>489</v>
      </c>
      <c r="DW81" t="s">
        <v>490</v>
      </c>
      <c r="DX81" t="s">
        <v>490</v>
      </c>
      <c r="DY81" t="s">
        <v>490</v>
      </c>
      <c r="DZ81" t="s">
        <v>489</v>
      </c>
      <c r="EA81" t="s">
        <v>490</v>
      </c>
      <c r="EB81" t="s">
        <v>489</v>
      </c>
      <c r="EC81" t="s">
        <v>490</v>
      </c>
      <c r="ED81" t="s">
        <v>490</v>
      </c>
      <c r="EE81" t="s">
        <v>490</v>
      </c>
      <c r="EF81" t="s">
        <v>489</v>
      </c>
      <c r="EG81" t="s">
        <v>490</v>
      </c>
      <c r="EH81" t="s">
        <v>489</v>
      </c>
      <c r="EI81" t="s">
        <v>490</v>
      </c>
      <c r="EJ81" t="s">
        <v>490</v>
      </c>
      <c r="EK81" t="s">
        <v>489</v>
      </c>
      <c r="EL81" t="s">
        <v>490</v>
      </c>
      <c r="EM81" t="s">
        <v>490</v>
      </c>
      <c r="EN81" t="s">
        <v>490</v>
      </c>
      <c r="EO81" t="s">
        <v>489</v>
      </c>
      <c r="EP81" t="s">
        <v>490</v>
      </c>
      <c r="EQ81" t="s">
        <v>490</v>
      </c>
      <c r="ER81" t="s">
        <v>489</v>
      </c>
      <c r="ES81" t="s">
        <v>490</v>
      </c>
      <c r="ET81" t="s">
        <v>489</v>
      </c>
      <c r="EU81" t="s">
        <v>490</v>
      </c>
      <c r="EV81" t="s">
        <v>490</v>
      </c>
      <c r="EW81" t="s">
        <v>490</v>
      </c>
      <c r="EX81" t="s">
        <v>489</v>
      </c>
      <c r="EY81">
        <v>75</v>
      </c>
      <c r="EZ81">
        <v>5</v>
      </c>
      <c r="FA81">
        <v>50</v>
      </c>
      <c r="FB81" t="s">
        <v>491</v>
      </c>
      <c r="HK81">
        <v>15000</v>
      </c>
      <c r="HL81">
        <v>15000</v>
      </c>
      <c r="HO81">
        <v>1000000</v>
      </c>
      <c r="HP81">
        <v>20000</v>
      </c>
      <c r="HS81">
        <v>15000</v>
      </c>
      <c r="HT81">
        <v>15000</v>
      </c>
      <c r="HW81">
        <v>400000</v>
      </c>
      <c r="HX81">
        <v>10000</v>
      </c>
      <c r="IA81">
        <v>0</v>
      </c>
      <c r="IC81">
        <v>0</v>
      </c>
      <c r="IE81">
        <v>500</v>
      </c>
      <c r="IF81">
        <v>0</v>
      </c>
      <c r="II81">
        <v>80</v>
      </c>
      <c r="IJ81">
        <v>20</v>
      </c>
      <c r="IK81">
        <v>0</v>
      </c>
      <c r="IL81">
        <v>80</v>
      </c>
      <c r="IM81">
        <v>20</v>
      </c>
      <c r="IN81">
        <v>0</v>
      </c>
      <c r="IO81">
        <v>80</v>
      </c>
      <c r="IP81">
        <v>20</v>
      </c>
      <c r="IQ81">
        <v>0</v>
      </c>
      <c r="IU81">
        <v>25</v>
      </c>
      <c r="IV81">
        <v>25</v>
      </c>
      <c r="IW81">
        <v>50</v>
      </c>
      <c r="IX81">
        <v>20</v>
      </c>
      <c r="IY81">
        <v>80</v>
      </c>
      <c r="JK81">
        <v>30000</v>
      </c>
      <c r="JM81">
        <v>15000</v>
      </c>
      <c r="OH81" s="15">
        <v>10</v>
      </c>
      <c r="OI81" s="15">
        <v>3</v>
      </c>
      <c r="OJ81" s="15">
        <v>10</v>
      </c>
      <c r="OK81" s="15">
        <v>8</v>
      </c>
      <c r="OL81" s="15">
        <v>10</v>
      </c>
      <c r="OM81" s="15">
        <v>8</v>
      </c>
      <c r="ON81" s="15">
        <v>9</v>
      </c>
      <c r="OO81" s="15">
        <v>3</v>
      </c>
      <c r="OQ81" t="s">
        <v>487</v>
      </c>
      <c r="OR81" t="s">
        <v>487</v>
      </c>
      <c r="OS81" t="s">
        <v>489</v>
      </c>
      <c r="OT81" t="s">
        <v>489</v>
      </c>
      <c r="OU81" t="s">
        <v>490</v>
      </c>
      <c r="OV81" t="s">
        <v>489</v>
      </c>
      <c r="OW81" t="s">
        <v>490</v>
      </c>
      <c r="OY81">
        <v>5</v>
      </c>
      <c r="OZ81">
        <v>5</v>
      </c>
      <c r="PA81">
        <v>0</v>
      </c>
      <c r="PB81">
        <v>0</v>
      </c>
      <c r="PC81">
        <v>0</v>
      </c>
      <c r="PD81">
        <v>0</v>
      </c>
      <c r="PE81">
        <v>0</v>
      </c>
      <c r="PF81">
        <v>0</v>
      </c>
      <c r="PG81">
        <v>0</v>
      </c>
      <c r="PH81">
        <v>0</v>
      </c>
      <c r="PI81">
        <v>7</v>
      </c>
      <c r="PJ81">
        <v>7</v>
      </c>
      <c r="PK81">
        <v>0</v>
      </c>
      <c r="PL81">
        <v>0</v>
      </c>
      <c r="PM81">
        <v>0</v>
      </c>
      <c r="PN81">
        <v>0</v>
      </c>
      <c r="PO81">
        <v>0</v>
      </c>
      <c r="PP81">
        <v>0</v>
      </c>
      <c r="PQ81">
        <v>0</v>
      </c>
      <c r="PR81">
        <v>0</v>
      </c>
      <c r="PT81" t="s">
        <v>487</v>
      </c>
      <c r="PU81" t="s">
        <v>492</v>
      </c>
      <c r="PV81">
        <v>150000</v>
      </c>
      <c r="PW81">
        <v>100000</v>
      </c>
      <c r="PX81">
        <v>250000</v>
      </c>
      <c r="PY81" t="s">
        <v>493</v>
      </c>
      <c r="PZ81" t="s">
        <v>493</v>
      </c>
      <c r="QA81">
        <v>70</v>
      </c>
      <c r="QB81">
        <v>30</v>
      </c>
      <c r="QC81">
        <v>50</v>
      </c>
      <c r="QD81">
        <v>50</v>
      </c>
      <c r="QE81" t="s">
        <v>494</v>
      </c>
      <c r="QF81">
        <v>20</v>
      </c>
      <c r="QG81">
        <v>5</v>
      </c>
      <c r="QH81">
        <v>5</v>
      </c>
      <c r="QI81">
        <v>5</v>
      </c>
      <c r="QJ81">
        <v>30</v>
      </c>
      <c r="QK81">
        <v>5</v>
      </c>
      <c r="QL81">
        <v>20</v>
      </c>
      <c r="QM81">
        <v>10</v>
      </c>
      <c r="QN81">
        <v>0</v>
      </c>
      <c r="QP81">
        <v>30</v>
      </c>
      <c r="QQ81">
        <v>10</v>
      </c>
      <c r="QR81">
        <v>10</v>
      </c>
      <c r="QS81">
        <v>15</v>
      </c>
      <c r="QT81">
        <v>10</v>
      </c>
      <c r="QU81">
        <v>10</v>
      </c>
      <c r="QV81">
        <v>5</v>
      </c>
      <c r="QW81">
        <v>10</v>
      </c>
      <c r="QX81">
        <v>0</v>
      </c>
      <c r="QZ81">
        <v>30</v>
      </c>
      <c r="RA81">
        <v>75</v>
      </c>
      <c r="RB81" t="s">
        <v>489</v>
      </c>
      <c r="RC81" t="s">
        <v>489</v>
      </c>
      <c r="RD81" t="s">
        <v>489</v>
      </c>
      <c r="RE81" t="s">
        <v>489</v>
      </c>
      <c r="RF81" t="s">
        <v>489</v>
      </c>
      <c r="RG81" t="s">
        <v>489</v>
      </c>
      <c r="RH81" t="s">
        <v>489</v>
      </c>
      <c r="RI81" t="s">
        <v>490</v>
      </c>
      <c r="RN81" t="s">
        <v>536</v>
      </c>
      <c r="RO81" t="s">
        <v>537</v>
      </c>
      <c r="RR81" t="s">
        <v>538</v>
      </c>
    </row>
    <row r="82" spans="1:486">
      <c r="A82">
        <v>11637</v>
      </c>
      <c r="B82" t="s">
        <v>506</v>
      </c>
      <c r="C82" t="s">
        <v>974</v>
      </c>
      <c r="D82" t="s">
        <v>507</v>
      </c>
      <c r="E82" t="s">
        <v>500</v>
      </c>
      <c r="F82" t="s">
        <v>509</v>
      </c>
      <c r="G82">
        <v>5.5</v>
      </c>
      <c r="H82" t="s">
        <v>487</v>
      </c>
      <c r="I82" t="s">
        <v>487</v>
      </c>
      <c r="J82" t="s">
        <v>488</v>
      </c>
      <c r="K82" t="s">
        <v>488</v>
      </c>
      <c r="L82" t="s">
        <v>489</v>
      </c>
      <c r="M82" t="s">
        <v>489</v>
      </c>
      <c r="N82" t="s">
        <v>489</v>
      </c>
      <c r="O82" t="s">
        <v>490</v>
      </c>
      <c r="P82" t="s">
        <v>490</v>
      </c>
      <c r="Q82" t="s">
        <v>490</v>
      </c>
      <c r="R82" t="s">
        <v>489</v>
      </c>
      <c r="S82" t="s">
        <v>489</v>
      </c>
      <c r="T82" t="s">
        <v>489</v>
      </c>
      <c r="U82" t="s">
        <v>490</v>
      </c>
      <c r="V82" t="s">
        <v>490</v>
      </c>
      <c r="W82" t="s">
        <v>489</v>
      </c>
      <c r="X82" t="s">
        <v>490</v>
      </c>
      <c r="Y82" t="s">
        <v>490</v>
      </c>
      <c r="Z82" t="s">
        <v>490</v>
      </c>
      <c r="AA82" t="s">
        <v>490</v>
      </c>
      <c r="AB82" t="s">
        <v>489</v>
      </c>
      <c r="AC82" t="s">
        <v>489</v>
      </c>
      <c r="AD82" t="s">
        <v>489</v>
      </c>
      <c r="AE82" t="s">
        <v>490</v>
      </c>
      <c r="AF82" t="s">
        <v>490</v>
      </c>
      <c r="AG82" t="s">
        <v>490</v>
      </c>
      <c r="AH82" t="s">
        <v>489</v>
      </c>
      <c r="AI82" t="s">
        <v>489</v>
      </c>
      <c r="AJ82" t="s">
        <v>490</v>
      </c>
      <c r="AK82" t="s">
        <v>490</v>
      </c>
      <c r="AL82" t="s">
        <v>490</v>
      </c>
      <c r="AM82" t="s">
        <v>490</v>
      </c>
      <c r="AN82" t="s">
        <v>489</v>
      </c>
      <c r="AO82" t="s">
        <v>489</v>
      </c>
      <c r="AP82" t="s">
        <v>490</v>
      </c>
      <c r="AQ82" t="s">
        <v>490</v>
      </c>
      <c r="AR82" t="s">
        <v>489</v>
      </c>
      <c r="AS82" t="s">
        <v>490</v>
      </c>
      <c r="AT82" t="s">
        <v>490</v>
      </c>
      <c r="AU82" t="s">
        <v>489</v>
      </c>
      <c r="AV82" t="s">
        <v>490</v>
      </c>
      <c r="AW82" t="s">
        <v>490</v>
      </c>
      <c r="AX82" t="s">
        <v>489</v>
      </c>
      <c r="AY82" t="s">
        <v>490</v>
      </c>
      <c r="AZ82" t="s">
        <v>490</v>
      </c>
      <c r="BA82" t="s">
        <v>489</v>
      </c>
      <c r="BB82" t="s">
        <v>490</v>
      </c>
      <c r="BC82" t="s">
        <v>490</v>
      </c>
      <c r="BD82" t="s">
        <v>489</v>
      </c>
      <c r="BE82" t="s">
        <v>490</v>
      </c>
      <c r="BF82" t="s">
        <v>490</v>
      </c>
      <c r="BG82" t="s">
        <v>489</v>
      </c>
      <c r="BH82" t="s">
        <v>490</v>
      </c>
      <c r="BI82" t="s">
        <v>490</v>
      </c>
      <c r="BJ82" t="s">
        <v>489</v>
      </c>
      <c r="BK82" t="s">
        <v>490</v>
      </c>
      <c r="BL82" t="s">
        <v>490</v>
      </c>
      <c r="BM82" t="s">
        <v>489</v>
      </c>
      <c r="BN82" t="s">
        <v>490</v>
      </c>
      <c r="BO82" t="s">
        <v>490</v>
      </c>
      <c r="BP82" t="s">
        <v>490</v>
      </c>
      <c r="BQ82" t="s">
        <v>490</v>
      </c>
      <c r="BR82" t="s">
        <v>489</v>
      </c>
      <c r="BS82" t="s">
        <v>489</v>
      </c>
      <c r="BT82" t="s">
        <v>490</v>
      </c>
      <c r="BU82" t="s">
        <v>490</v>
      </c>
      <c r="BV82" t="s">
        <v>489</v>
      </c>
      <c r="BW82" t="s">
        <v>490</v>
      </c>
      <c r="BX82" t="s">
        <v>490</v>
      </c>
      <c r="BY82" t="s">
        <v>489</v>
      </c>
      <c r="BZ82" t="s">
        <v>490</v>
      </c>
      <c r="CA82" t="s">
        <v>490</v>
      </c>
      <c r="DI82" t="s">
        <v>490</v>
      </c>
      <c r="DJ82" t="s">
        <v>490</v>
      </c>
      <c r="DK82" t="s">
        <v>489</v>
      </c>
      <c r="DL82" t="s">
        <v>490</v>
      </c>
      <c r="DM82" t="s">
        <v>490</v>
      </c>
      <c r="DN82" t="s">
        <v>489</v>
      </c>
      <c r="DO82" t="s">
        <v>490</v>
      </c>
      <c r="DP82" t="s">
        <v>490</v>
      </c>
      <c r="DQ82" t="s">
        <v>489</v>
      </c>
      <c r="DR82" t="s">
        <v>489</v>
      </c>
      <c r="DS82" t="s">
        <v>489</v>
      </c>
      <c r="DT82" t="s">
        <v>490</v>
      </c>
      <c r="DU82" t="s">
        <v>489</v>
      </c>
      <c r="DV82" t="s">
        <v>490</v>
      </c>
      <c r="DW82" t="s">
        <v>490</v>
      </c>
      <c r="DX82" t="s">
        <v>490</v>
      </c>
      <c r="DY82" t="s">
        <v>490</v>
      </c>
      <c r="DZ82" t="s">
        <v>489</v>
      </c>
      <c r="EA82" t="s">
        <v>490</v>
      </c>
      <c r="EB82" t="s">
        <v>489</v>
      </c>
      <c r="EC82" t="s">
        <v>490</v>
      </c>
      <c r="ED82" t="s">
        <v>490</v>
      </c>
      <c r="EE82" t="s">
        <v>490</v>
      </c>
      <c r="EF82" t="s">
        <v>489</v>
      </c>
      <c r="EG82" t="s">
        <v>490</v>
      </c>
      <c r="EH82" t="s">
        <v>490</v>
      </c>
      <c r="EI82" t="s">
        <v>489</v>
      </c>
      <c r="EJ82" t="s">
        <v>490</v>
      </c>
      <c r="EK82" t="s">
        <v>490</v>
      </c>
      <c r="EL82" t="s">
        <v>489</v>
      </c>
      <c r="EM82" t="s">
        <v>490</v>
      </c>
      <c r="EN82" t="s">
        <v>490</v>
      </c>
      <c r="EO82" t="s">
        <v>489</v>
      </c>
      <c r="EP82" t="s">
        <v>490</v>
      </c>
      <c r="EQ82" t="s">
        <v>490</v>
      </c>
      <c r="ER82" t="s">
        <v>489</v>
      </c>
      <c r="ES82" t="s">
        <v>490</v>
      </c>
      <c r="ET82" t="s">
        <v>490</v>
      </c>
      <c r="EU82" t="s">
        <v>489</v>
      </c>
      <c r="EV82" t="s">
        <v>490</v>
      </c>
      <c r="EW82" t="s">
        <v>490</v>
      </c>
      <c r="EX82" t="s">
        <v>489</v>
      </c>
      <c r="EY82">
        <v>90</v>
      </c>
      <c r="EZ82">
        <v>10</v>
      </c>
      <c r="FA82">
        <v>10</v>
      </c>
      <c r="FB82" t="s">
        <v>491</v>
      </c>
      <c r="FC82">
        <v>0</v>
      </c>
      <c r="FD82">
        <v>5</v>
      </c>
      <c r="FE82">
        <v>0</v>
      </c>
      <c r="FF82">
        <v>500</v>
      </c>
      <c r="FI82">
        <v>2000</v>
      </c>
      <c r="FJ82">
        <v>10000</v>
      </c>
      <c r="FM82">
        <v>0</v>
      </c>
      <c r="FN82">
        <v>1000</v>
      </c>
      <c r="FQ82">
        <v>0</v>
      </c>
      <c r="FR82">
        <v>500</v>
      </c>
      <c r="FS82">
        <v>0</v>
      </c>
      <c r="FT82">
        <v>15000</v>
      </c>
      <c r="FU82">
        <v>0</v>
      </c>
      <c r="FV82">
        <v>0</v>
      </c>
      <c r="FZ82">
        <v>0</v>
      </c>
      <c r="GB82">
        <v>0</v>
      </c>
      <c r="GD82">
        <v>0</v>
      </c>
      <c r="GF82">
        <v>0</v>
      </c>
      <c r="GP82">
        <v>10</v>
      </c>
      <c r="GQ82">
        <v>70</v>
      </c>
      <c r="GR82">
        <v>20</v>
      </c>
      <c r="HO82">
        <v>20000</v>
      </c>
      <c r="HP82">
        <v>100</v>
      </c>
      <c r="HS82">
        <v>50000</v>
      </c>
      <c r="HU82">
        <v>250</v>
      </c>
      <c r="HV82">
        <v>10</v>
      </c>
      <c r="HW82">
        <v>100000</v>
      </c>
      <c r="HX82">
        <v>100</v>
      </c>
      <c r="IA82">
        <v>0</v>
      </c>
      <c r="IC82">
        <v>0</v>
      </c>
      <c r="ID82">
        <v>0</v>
      </c>
      <c r="IE82">
        <v>0</v>
      </c>
      <c r="IF82">
        <v>0</v>
      </c>
      <c r="IU82">
        <v>20</v>
      </c>
      <c r="IX82">
        <v>100</v>
      </c>
      <c r="IY82">
        <v>0</v>
      </c>
      <c r="IZ82">
        <v>0</v>
      </c>
      <c r="JK82">
        <v>2500</v>
      </c>
      <c r="JM82">
        <v>500</v>
      </c>
      <c r="JO82">
        <v>0</v>
      </c>
      <c r="JQ82">
        <v>0</v>
      </c>
      <c r="MQ82">
        <v>1000</v>
      </c>
      <c r="MR82">
        <v>2000</v>
      </c>
      <c r="MW82">
        <v>0</v>
      </c>
      <c r="MX82">
        <v>2000</v>
      </c>
      <c r="MZ82">
        <v>250000</v>
      </c>
      <c r="NH82">
        <v>0</v>
      </c>
      <c r="NY82">
        <v>10</v>
      </c>
      <c r="NZ82">
        <v>80</v>
      </c>
      <c r="OA82">
        <v>10</v>
      </c>
      <c r="OB82">
        <v>5</v>
      </c>
      <c r="OC82">
        <v>75</v>
      </c>
      <c r="OD82">
        <v>20</v>
      </c>
      <c r="OH82" s="15">
        <v>8</v>
      </c>
      <c r="OI82" s="15">
        <v>5</v>
      </c>
      <c r="OJ82" s="15">
        <v>8</v>
      </c>
      <c r="OK82" s="15">
        <v>5</v>
      </c>
      <c r="OL82" s="15">
        <v>7</v>
      </c>
      <c r="OM82" s="15">
        <v>9</v>
      </c>
      <c r="ON82" s="15">
        <v>6</v>
      </c>
      <c r="OO82" s="15">
        <v>1</v>
      </c>
      <c r="OQ82" t="s">
        <v>487</v>
      </c>
      <c r="OR82" t="s">
        <v>487</v>
      </c>
      <c r="OS82" t="s">
        <v>489</v>
      </c>
      <c r="OT82" t="s">
        <v>490</v>
      </c>
      <c r="OU82" t="s">
        <v>490</v>
      </c>
      <c r="OV82" t="s">
        <v>489</v>
      </c>
      <c r="OW82" t="s">
        <v>490</v>
      </c>
      <c r="OY82">
        <v>0</v>
      </c>
      <c r="OZ82">
        <v>100</v>
      </c>
      <c r="PA82">
        <v>0</v>
      </c>
      <c r="PB82">
        <v>0</v>
      </c>
      <c r="PC82">
        <v>0</v>
      </c>
      <c r="PD82">
        <v>0</v>
      </c>
      <c r="PE82">
        <v>0</v>
      </c>
      <c r="PF82">
        <v>0</v>
      </c>
      <c r="PG82">
        <v>0</v>
      </c>
      <c r="PH82">
        <v>0</v>
      </c>
      <c r="PI82">
        <v>0</v>
      </c>
      <c r="PJ82">
        <v>100</v>
      </c>
      <c r="PK82">
        <v>0</v>
      </c>
      <c r="PL82">
        <v>0</v>
      </c>
      <c r="PM82">
        <v>0</v>
      </c>
      <c r="PN82">
        <v>0</v>
      </c>
      <c r="PO82">
        <v>0</v>
      </c>
      <c r="PP82">
        <v>0</v>
      </c>
      <c r="PQ82">
        <v>0</v>
      </c>
      <c r="PR82">
        <v>0</v>
      </c>
      <c r="PT82" t="s">
        <v>488</v>
      </c>
      <c r="PU82" t="s">
        <v>497</v>
      </c>
      <c r="PV82">
        <v>10000</v>
      </c>
      <c r="PW82">
        <v>0</v>
      </c>
      <c r="PX82">
        <v>10000</v>
      </c>
      <c r="PY82" t="s">
        <v>493</v>
      </c>
      <c r="PZ82" t="s">
        <v>493</v>
      </c>
      <c r="QA82">
        <v>40</v>
      </c>
      <c r="QB82">
        <v>60</v>
      </c>
      <c r="QC82">
        <v>80</v>
      </c>
      <c r="QD82">
        <v>20</v>
      </c>
      <c r="QE82" t="s">
        <v>494</v>
      </c>
      <c r="QF82">
        <v>5</v>
      </c>
      <c r="QG82">
        <v>20</v>
      </c>
      <c r="QH82">
        <v>0</v>
      </c>
      <c r="QI82">
        <v>5</v>
      </c>
      <c r="QJ82">
        <v>40</v>
      </c>
      <c r="QK82">
        <v>0</v>
      </c>
      <c r="QL82">
        <v>5</v>
      </c>
      <c r="QM82">
        <v>25</v>
      </c>
      <c r="QN82">
        <v>0</v>
      </c>
      <c r="QP82">
        <v>45</v>
      </c>
      <c r="QQ82">
        <v>25</v>
      </c>
      <c r="QR82">
        <v>5</v>
      </c>
      <c r="QS82">
        <v>5</v>
      </c>
      <c r="QT82">
        <v>5</v>
      </c>
      <c r="QU82">
        <v>5</v>
      </c>
      <c r="QV82">
        <v>5</v>
      </c>
      <c r="QW82">
        <v>5</v>
      </c>
      <c r="QX82">
        <v>0</v>
      </c>
      <c r="QZ82">
        <v>0.5</v>
      </c>
      <c r="RA82">
        <v>10</v>
      </c>
      <c r="RB82" t="s">
        <v>489</v>
      </c>
      <c r="RC82" t="s">
        <v>490</v>
      </c>
      <c r="RD82" t="s">
        <v>490</v>
      </c>
      <c r="RE82" t="s">
        <v>489</v>
      </c>
      <c r="RF82" t="s">
        <v>490</v>
      </c>
      <c r="RG82" t="s">
        <v>490</v>
      </c>
      <c r="RH82" t="s">
        <v>490</v>
      </c>
      <c r="RI82" t="s">
        <v>490</v>
      </c>
    </row>
    <row r="83" spans="1:486">
      <c r="A83">
        <v>11543</v>
      </c>
      <c r="B83" t="s">
        <v>506</v>
      </c>
      <c r="C83" t="s">
        <v>974</v>
      </c>
      <c r="D83" t="s">
        <v>507</v>
      </c>
      <c r="E83" t="s">
        <v>500</v>
      </c>
      <c r="F83" t="s">
        <v>505</v>
      </c>
      <c r="G83">
        <v>2.94</v>
      </c>
      <c r="H83" t="s">
        <v>487</v>
      </c>
      <c r="I83" t="s">
        <v>487</v>
      </c>
      <c r="J83" t="s">
        <v>488</v>
      </c>
      <c r="K83" t="s">
        <v>487</v>
      </c>
      <c r="L83" t="s">
        <v>490</v>
      </c>
      <c r="M83" t="s">
        <v>489</v>
      </c>
      <c r="N83" t="s">
        <v>490</v>
      </c>
      <c r="O83" t="s">
        <v>490</v>
      </c>
      <c r="P83" t="s">
        <v>490</v>
      </c>
      <c r="Q83" t="s">
        <v>490</v>
      </c>
      <c r="R83" t="s">
        <v>490</v>
      </c>
      <c r="S83" t="s">
        <v>490</v>
      </c>
      <c r="AX83" t="s">
        <v>489</v>
      </c>
      <c r="AY83" t="s">
        <v>490</v>
      </c>
      <c r="AZ83" t="s">
        <v>490</v>
      </c>
      <c r="BA83" t="s">
        <v>489</v>
      </c>
      <c r="BB83" t="s">
        <v>490</v>
      </c>
      <c r="BC83" t="s">
        <v>490</v>
      </c>
      <c r="BD83" t="s">
        <v>489</v>
      </c>
      <c r="BE83" t="s">
        <v>490</v>
      </c>
      <c r="BF83" t="s">
        <v>490</v>
      </c>
      <c r="BG83" t="s">
        <v>490</v>
      </c>
      <c r="BH83" t="s">
        <v>490</v>
      </c>
      <c r="BI83" t="s">
        <v>489</v>
      </c>
      <c r="BJ83" t="s">
        <v>489</v>
      </c>
      <c r="BK83" t="s">
        <v>489</v>
      </c>
      <c r="BL83" t="s">
        <v>490</v>
      </c>
      <c r="BM83" t="s">
        <v>489</v>
      </c>
      <c r="BN83" t="s">
        <v>490</v>
      </c>
      <c r="BO83" t="s">
        <v>490</v>
      </c>
      <c r="BP83" t="s">
        <v>490</v>
      </c>
      <c r="BQ83" t="s">
        <v>490</v>
      </c>
      <c r="BR83" t="s">
        <v>489</v>
      </c>
      <c r="BS83" t="s">
        <v>489</v>
      </c>
      <c r="BT83" t="s">
        <v>490</v>
      </c>
      <c r="BU83" t="s">
        <v>490</v>
      </c>
      <c r="EY83">
        <v>2</v>
      </c>
      <c r="EZ83">
        <v>2</v>
      </c>
      <c r="FA83">
        <v>0</v>
      </c>
      <c r="FB83" t="s">
        <v>491</v>
      </c>
      <c r="HO83">
        <v>10000</v>
      </c>
      <c r="HW83">
        <v>12000</v>
      </c>
      <c r="IE83">
        <v>200</v>
      </c>
      <c r="IU83">
        <v>80</v>
      </c>
      <c r="IV83">
        <v>20</v>
      </c>
      <c r="IW83">
        <v>0</v>
      </c>
      <c r="OH83" s="15">
        <v>7</v>
      </c>
      <c r="OI83" s="15">
        <v>6</v>
      </c>
      <c r="OJ83" s="15">
        <v>8</v>
      </c>
      <c r="OK83" s="15">
        <v>2</v>
      </c>
      <c r="OL83" s="15">
        <v>8</v>
      </c>
      <c r="OM83" s="15">
        <v>9</v>
      </c>
      <c r="ON83" s="15">
        <v>7</v>
      </c>
      <c r="OO83" s="15">
        <v>7</v>
      </c>
      <c r="OQ83" t="s">
        <v>488</v>
      </c>
      <c r="OR83" t="s">
        <v>487</v>
      </c>
      <c r="OS83" t="s">
        <v>489</v>
      </c>
      <c r="OT83" t="s">
        <v>490</v>
      </c>
      <c r="OU83" t="s">
        <v>490</v>
      </c>
      <c r="OV83" t="s">
        <v>490</v>
      </c>
      <c r="OW83" t="s">
        <v>490</v>
      </c>
      <c r="OY83">
        <v>0</v>
      </c>
      <c r="OZ83">
        <v>2</v>
      </c>
      <c r="PA83">
        <v>0</v>
      </c>
      <c r="PB83">
        <v>0</v>
      </c>
      <c r="PC83">
        <v>0</v>
      </c>
      <c r="PD83">
        <v>0</v>
      </c>
      <c r="PE83">
        <v>0</v>
      </c>
      <c r="PF83">
        <v>0</v>
      </c>
      <c r="PG83">
        <v>0</v>
      </c>
      <c r="PH83">
        <v>0</v>
      </c>
      <c r="PI83">
        <v>0</v>
      </c>
      <c r="PJ83">
        <v>2</v>
      </c>
      <c r="PK83">
        <v>0</v>
      </c>
      <c r="PL83">
        <v>0</v>
      </c>
      <c r="PM83">
        <v>0</v>
      </c>
      <c r="PN83">
        <v>0</v>
      </c>
      <c r="PO83">
        <v>0</v>
      </c>
      <c r="PP83">
        <v>0</v>
      </c>
      <c r="PQ83">
        <v>0</v>
      </c>
      <c r="PR83">
        <v>0</v>
      </c>
      <c r="PT83" t="s">
        <v>488</v>
      </c>
      <c r="PU83" t="s">
        <v>497</v>
      </c>
      <c r="PV83">
        <v>10000</v>
      </c>
      <c r="PW83">
        <v>0</v>
      </c>
      <c r="PX83">
        <v>10000</v>
      </c>
      <c r="PY83" t="s">
        <v>493</v>
      </c>
      <c r="PZ83" t="s">
        <v>493</v>
      </c>
    </row>
    <row r="84" spans="1:486">
      <c r="A84">
        <v>11652</v>
      </c>
      <c r="B84" t="s">
        <v>506</v>
      </c>
      <c r="C84" t="s">
        <v>974</v>
      </c>
      <c r="D84" t="s">
        <v>507</v>
      </c>
      <c r="E84" t="s">
        <v>500</v>
      </c>
      <c r="F84" t="s">
        <v>517</v>
      </c>
      <c r="G84">
        <v>0.5</v>
      </c>
      <c r="H84" t="s">
        <v>487</v>
      </c>
      <c r="I84" t="s">
        <v>487</v>
      </c>
      <c r="J84" t="s">
        <v>488</v>
      </c>
      <c r="K84" t="s">
        <v>488</v>
      </c>
      <c r="L84" t="s">
        <v>490</v>
      </c>
      <c r="M84" t="s">
        <v>489</v>
      </c>
      <c r="N84" t="s">
        <v>489</v>
      </c>
      <c r="O84" t="s">
        <v>489</v>
      </c>
      <c r="P84" t="s">
        <v>490</v>
      </c>
      <c r="Q84" t="s">
        <v>490</v>
      </c>
      <c r="R84" t="s">
        <v>490</v>
      </c>
      <c r="S84" t="s">
        <v>490</v>
      </c>
      <c r="AX84" t="s">
        <v>490</v>
      </c>
      <c r="AY84" t="s">
        <v>490</v>
      </c>
      <c r="AZ84" t="s">
        <v>489</v>
      </c>
      <c r="BA84" t="s">
        <v>489</v>
      </c>
      <c r="BB84" t="s">
        <v>489</v>
      </c>
      <c r="BC84" t="s">
        <v>490</v>
      </c>
      <c r="BD84" t="s">
        <v>489</v>
      </c>
      <c r="BE84" t="s">
        <v>489</v>
      </c>
      <c r="BF84" t="s">
        <v>490</v>
      </c>
      <c r="BG84" t="s">
        <v>489</v>
      </c>
      <c r="BH84" t="s">
        <v>489</v>
      </c>
      <c r="BI84" t="s">
        <v>490</v>
      </c>
      <c r="BJ84" t="s">
        <v>489</v>
      </c>
      <c r="BK84" t="s">
        <v>489</v>
      </c>
      <c r="BL84" t="s">
        <v>490</v>
      </c>
      <c r="BM84" t="s">
        <v>490</v>
      </c>
      <c r="BN84" t="s">
        <v>490</v>
      </c>
      <c r="BO84" t="s">
        <v>489</v>
      </c>
      <c r="BP84" t="s">
        <v>490</v>
      </c>
      <c r="BQ84" t="s">
        <v>490</v>
      </c>
      <c r="BR84" t="s">
        <v>489</v>
      </c>
      <c r="BS84" t="s">
        <v>490</v>
      </c>
      <c r="BT84" t="s">
        <v>490</v>
      </c>
      <c r="BU84" t="s">
        <v>489</v>
      </c>
      <c r="BV84" t="s">
        <v>489</v>
      </c>
      <c r="BW84" t="s">
        <v>489</v>
      </c>
      <c r="BX84" t="s">
        <v>490</v>
      </c>
      <c r="BY84" t="s">
        <v>490</v>
      </c>
      <c r="BZ84" t="s">
        <v>490</v>
      </c>
      <c r="CA84" t="s">
        <v>489</v>
      </c>
      <c r="CB84" t="s">
        <v>490</v>
      </c>
      <c r="CC84" t="s">
        <v>490</v>
      </c>
      <c r="CD84" t="s">
        <v>489</v>
      </c>
      <c r="CE84" t="s">
        <v>490</v>
      </c>
      <c r="CF84" t="s">
        <v>490</v>
      </c>
      <c r="CG84" t="s">
        <v>489</v>
      </c>
      <c r="CH84" t="s">
        <v>489</v>
      </c>
      <c r="CI84" t="s">
        <v>490</v>
      </c>
      <c r="CJ84" t="s">
        <v>490</v>
      </c>
      <c r="CK84" t="s">
        <v>489</v>
      </c>
      <c r="CL84" t="s">
        <v>490</v>
      </c>
      <c r="CM84" t="s">
        <v>490</v>
      </c>
      <c r="CN84" t="s">
        <v>489</v>
      </c>
      <c r="CO84" t="s">
        <v>490</v>
      </c>
      <c r="CP84" t="s">
        <v>490</v>
      </c>
      <c r="EY84">
        <v>95</v>
      </c>
      <c r="EZ84">
        <v>5</v>
      </c>
      <c r="FA84">
        <v>10</v>
      </c>
      <c r="FB84" t="s">
        <v>491</v>
      </c>
      <c r="HL84">
        <v>100</v>
      </c>
      <c r="HM84">
        <v>1000</v>
      </c>
      <c r="HN84">
        <v>8</v>
      </c>
      <c r="HO84">
        <v>2000</v>
      </c>
      <c r="HT84">
        <v>100</v>
      </c>
      <c r="HU84">
        <v>1000</v>
      </c>
      <c r="HV84">
        <v>8</v>
      </c>
      <c r="HW84">
        <v>2000</v>
      </c>
      <c r="IC84">
        <v>0</v>
      </c>
      <c r="ID84">
        <v>0</v>
      </c>
      <c r="IE84">
        <v>0</v>
      </c>
      <c r="IL84">
        <v>100</v>
      </c>
      <c r="IM84">
        <v>0</v>
      </c>
      <c r="IN84">
        <v>0</v>
      </c>
      <c r="IO84">
        <v>70</v>
      </c>
      <c r="IP84">
        <v>10</v>
      </c>
      <c r="IQ84">
        <v>20</v>
      </c>
      <c r="IR84">
        <v>100</v>
      </c>
      <c r="IS84">
        <v>0</v>
      </c>
      <c r="IT84">
        <v>0</v>
      </c>
      <c r="IU84">
        <v>40</v>
      </c>
      <c r="IV84">
        <v>20</v>
      </c>
      <c r="IW84">
        <v>40</v>
      </c>
      <c r="OH84" s="15">
        <v>8</v>
      </c>
      <c r="OI84" s="15">
        <v>1</v>
      </c>
      <c r="OJ84" s="15">
        <v>5</v>
      </c>
      <c r="OK84" s="15">
        <v>1</v>
      </c>
      <c r="OL84" s="15">
        <v>9</v>
      </c>
      <c r="OM84" s="15">
        <v>9</v>
      </c>
      <c r="ON84" s="15">
        <v>1</v>
      </c>
      <c r="OO84" s="15">
        <v>1</v>
      </c>
      <c r="OQ84" t="s">
        <v>488</v>
      </c>
      <c r="OR84" t="s">
        <v>487</v>
      </c>
      <c r="OS84" t="s">
        <v>489</v>
      </c>
      <c r="OT84" t="s">
        <v>490</v>
      </c>
      <c r="OU84" t="s">
        <v>490</v>
      </c>
      <c r="OV84" t="s">
        <v>490</v>
      </c>
      <c r="OW84" t="s">
        <v>490</v>
      </c>
      <c r="OY84">
        <v>100</v>
      </c>
      <c r="OZ84">
        <v>0</v>
      </c>
      <c r="PA84">
        <v>100</v>
      </c>
      <c r="PB84">
        <v>100</v>
      </c>
      <c r="PC84">
        <v>0</v>
      </c>
      <c r="PD84">
        <v>0</v>
      </c>
      <c r="PE84">
        <v>0</v>
      </c>
      <c r="PF84">
        <v>0</v>
      </c>
      <c r="PG84">
        <v>0</v>
      </c>
      <c r="PH84">
        <v>0</v>
      </c>
      <c r="PI84">
        <v>100</v>
      </c>
      <c r="PJ84">
        <v>0</v>
      </c>
      <c r="PK84">
        <v>100</v>
      </c>
      <c r="PL84">
        <v>100</v>
      </c>
      <c r="PM84">
        <v>0</v>
      </c>
      <c r="PN84">
        <v>0</v>
      </c>
      <c r="PO84">
        <v>0</v>
      </c>
      <c r="PP84">
        <v>0</v>
      </c>
      <c r="PQ84">
        <v>0</v>
      </c>
      <c r="PR84">
        <v>0</v>
      </c>
      <c r="PT84" t="s">
        <v>488</v>
      </c>
      <c r="PU84" t="s">
        <v>515</v>
      </c>
      <c r="PV84">
        <v>25000</v>
      </c>
      <c r="PW84">
        <v>0</v>
      </c>
      <c r="PX84">
        <v>25000</v>
      </c>
      <c r="PY84" t="s">
        <v>493</v>
      </c>
      <c r="PZ84" t="s">
        <v>493</v>
      </c>
      <c r="QA84">
        <v>60</v>
      </c>
      <c r="QB84">
        <v>40</v>
      </c>
      <c r="QC84">
        <v>10</v>
      </c>
      <c r="QD84">
        <v>90</v>
      </c>
      <c r="QE84" t="s">
        <v>508</v>
      </c>
      <c r="QZ84">
        <v>0.5</v>
      </c>
      <c r="RA84">
        <v>0</v>
      </c>
      <c r="RB84" t="s">
        <v>489</v>
      </c>
      <c r="RC84" t="s">
        <v>490</v>
      </c>
      <c r="RD84" t="s">
        <v>490</v>
      </c>
      <c r="RE84" t="s">
        <v>490</v>
      </c>
      <c r="RF84" t="s">
        <v>490</v>
      </c>
      <c r="RG84" t="s">
        <v>490</v>
      </c>
      <c r="RH84" t="s">
        <v>490</v>
      </c>
      <c r="RI84" t="s">
        <v>490</v>
      </c>
    </row>
    <row r="85" spans="1:486">
      <c r="A85">
        <v>11747</v>
      </c>
      <c r="B85" t="s">
        <v>506</v>
      </c>
      <c r="C85" t="s">
        <v>974</v>
      </c>
      <c r="D85" t="s">
        <v>507</v>
      </c>
      <c r="E85" t="s">
        <v>500</v>
      </c>
      <c r="F85" t="s">
        <v>517</v>
      </c>
      <c r="G85">
        <v>1</v>
      </c>
      <c r="H85" t="s">
        <v>487</v>
      </c>
      <c r="I85" t="s">
        <v>487</v>
      </c>
      <c r="J85" t="s">
        <v>487</v>
      </c>
      <c r="K85" t="s">
        <v>488</v>
      </c>
      <c r="L85" t="s">
        <v>489</v>
      </c>
      <c r="M85" t="s">
        <v>489</v>
      </c>
      <c r="N85" t="s">
        <v>489</v>
      </c>
      <c r="O85" t="s">
        <v>489</v>
      </c>
      <c r="P85" t="s">
        <v>490</v>
      </c>
      <c r="Q85" t="s">
        <v>490</v>
      </c>
      <c r="R85" t="s">
        <v>489</v>
      </c>
      <c r="S85" t="s">
        <v>490</v>
      </c>
      <c r="T85" t="s">
        <v>489</v>
      </c>
      <c r="U85" t="s">
        <v>490</v>
      </c>
      <c r="V85" t="s">
        <v>490</v>
      </c>
      <c r="W85" t="s">
        <v>489</v>
      </c>
      <c r="X85" t="s">
        <v>490</v>
      </c>
      <c r="Y85" t="s">
        <v>490</v>
      </c>
      <c r="Z85" t="s">
        <v>490</v>
      </c>
      <c r="AA85" t="s">
        <v>490</v>
      </c>
      <c r="AB85" t="s">
        <v>489</v>
      </c>
      <c r="AC85" t="s">
        <v>489</v>
      </c>
      <c r="AD85" t="s">
        <v>490</v>
      </c>
      <c r="AE85" t="s">
        <v>490</v>
      </c>
      <c r="AF85" t="s">
        <v>489</v>
      </c>
      <c r="AG85" t="s">
        <v>490</v>
      </c>
      <c r="AH85" t="s">
        <v>490</v>
      </c>
      <c r="AI85" t="s">
        <v>489</v>
      </c>
      <c r="AJ85" t="s">
        <v>490</v>
      </c>
      <c r="AK85" t="s">
        <v>490</v>
      </c>
      <c r="AL85" t="s">
        <v>490</v>
      </c>
      <c r="AM85" t="s">
        <v>490</v>
      </c>
      <c r="AN85" t="s">
        <v>489</v>
      </c>
      <c r="AO85" t="s">
        <v>490</v>
      </c>
      <c r="AP85" t="s">
        <v>490</v>
      </c>
      <c r="AQ85" t="s">
        <v>489</v>
      </c>
      <c r="AR85" t="s">
        <v>490</v>
      </c>
      <c r="AS85" t="s">
        <v>490</v>
      </c>
      <c r="AT85" t="s">
        <v>489</v>
      </c>
      <c r="AU85" t="s">
        <v>489</v>
      </c>
      <c r="AV85" t="s">
        <v>490</v>
      </c>
      <c r="AW85" t="s">
        <v>490</v>
      </c>
      <c r="AX85" t="s">
        <v>489</v>
      </c>
      <c r="AY85" t="s">
        <v>490</v>
      </c>
      <c r="AZ85" t="s">
        <v>490</v>
      </c>
      <c r="BA85" t="s">
        <v>490</v>
      </c>
      <c r="BB85" t="s">
        <v>490</v>
      </c>
      <c r="BC85" t="s">
        <v>489</v>
      </c>
      <c r="BD85" t="s">
        <v>490</v>
      </c>
      <c r="BE85" t="s">
        <v>490</v>
      </c>
      <c r="BF85" t="s">
        <v>489</v>
      </c>
      <c r="BG85" t="s">
        <v>490</v>
      </c>
      <c r="BH85" t="s">
        <v>490</v>
      </c>
      <c r="BI85" t="s">
        <v>489</v>
      </c>
      <c r="BJ85" t="s">
        <v>489</v>
      </c>
      <c r="BK85" t="s">
        <v>489</v>
      </c>
      <c r="BL85" t="s">
        <v>490</v>
      </c>
      <c r="BM85" t="s">
        <v>489</v>
      </c>
      <c r="BN85" t="s">
        <v>490</v>
      </c>
      <c r="BO85" t="s">
        <v>490</v>
      </c>
      <c r="BP85" t="s">
        <v>490</v>
      </c>
      <c r="BQ85" t="s">
        <v>490</v>
      </c>
      <c r="BR85" t="s">
        <v>489</v>
      </c>
      <c r="BS85" t="s">
        <v>490</v>
      </c>
      <c r="BT85" t="s">
        <v>490</v>
      </c>
      <c r="BU85" t="s">
        <v>489</v>
      </c>
      <c r="BV85" t="s">
        <v>490</v>
      </c>
      <c r="BW85" t="s">
        <v>490</v>
      </c>
      <c r="BX85" t="s">
        <v>489</v>
      </c>
      <c r="BY85" t="s">
        <v>489</v>
      </c>
      <c r="BZ85" t="s">
        <v>490</v>
      </c>
      <c r="CA85" t="s">
        <v>490</v>
      </c>
      <c r="CB85" t="s">
        <v>490</v>
      </c>
      <c r="CC85" t="s">
        <v>490</v>
      </c>
      <c r="CD85" t="s">
        <v>489</v>
      </c>
      <c r="CE85" t="s">
        <v>490</v>
      </c>
      <c r="CF85" t="s">
        <v>490</v>
      </c>
      <c r="CG85" t="s">
        <v>489</v>
      </c>
      <c r="CH85" t="s">
        <v>489</v>
      </c>
      <c r="CI85" t="s">
        <v>489</v>
      </c>
      <c r="CJ85" t="s">
        <v>490</v>
      </c>
      <c r="CK85" t="s">
        <v>490</v>
      </c>
      <c r="CL85" t="s">
        <v>490</v>
      </c>
      <c r="CM85" t="s">
        <v>489</v>
      </c>
      <c r="CN85" t="s">
        <v>489</v>
      </c>
      <c r="CO85" t="s">
        <v>489</v>
      </c>
      <c r="CP85" t="s">
        <v>490</v>
      </c>
      <c r="DI85" t="s">
        <v>490</v>
      </c>
      <c r="DJ85" t="s">
        <v>490</v>
      </c>
      <c r="DK85" t="s">
        <v>489</v>
      </c>
      <c r="DL85" t="s">
        <v>489</v>
      </c>
      <c r="DM85" t="s">
        <v>489</v>
      </c>
      <c r="DN85" t="s">
        <v>490</v>
      </c>
      <c r="DO85" t="s">
        <v>490</v>
      </c>
      <c r="DP85" t="s">
        <v>490</v>
      </c>
      <c r="DQ85" t="s">
        <v>489</v>
      </c>
      <c r="DR85" t="s">
        <v>489</v>
      </c>
      <c r="DS85" t="s">
        <v>489</v>
      </c>
      <c r="DT85" t="s">
        <v>490</v>
      </c>
      <c r="DU85" t="s">
        <v>489</v>
      </c>
      <c r="DV85" t="s">
        <v>489</v>
      </c>
      <c r="DW85" t="s">
        <v>490</v>
      </c>
      <c r="DX85" t="s">
        <v>490</v>
      </c>
      <c r="DY85" t="s">
        <v>490</v>
      </c>
      <c r="DZ85" t="s">
        <v>489</v>
      </c>
      <c r="EY85">
        <v>50</v>
      </c>
      <c r="EZ85">
        <v>20</v>
      </c>
      <c r="FA85">
        <v>80</v>
      </c>
      <c r="FB85" t="s">
        <v>491</v>
      </c>
      <c r="HO85">
        <v>890</v>
      </c>
      <c r="HP85">
        <v>30</v>
      </c>
      <c r="HW85">
        <v>1200</v>
      </c>
      <c r="IE85">
        <v>0</v>
      </c>
      <c r="IU85">
        <v>80</v>
      </c>
      <c r="IV85">
        <v>20</v>
      </c>
      <c r="IW85">
        <v>0</v>
      </c>
      <c r="IX85">
        <v>0</v>
      </c>
      <c r="OH85" s="15">
        <v>10</v>
      </c>
      <c r="OI85" s="15">
        <v>3</v>
      </c>
      <c r="OJ85" s="15">
        <v>10</v>
      </c>
      <c r="OK85" s="15">
        <v>1</v>
      </c>
      <c r="OL85" s="15">
        <v>8</v>
      </c>
      <c r="OM85" s="15">
        <v>10</v>
      </c>
      <c r="ON85" s="15">
        <v>1</v>
      </c>
      <c r="OO85" s="15">
        <v>1</v>
      </c>
      <c r="OQ85" t="s">
        <v>488</v>
      </c>
      <c r="OR85" t="s">
        <v>487</v>
      </c>
      <c r="OS85" t="s">
        <v>489</v>
      </c>
      <c r="OT85" t="s">
        <v>490</v>
      </c>
      <c r="OU85" t="s">
        <v>490</v>
      </c>
      <c r="OV85" t="s">
        <v>490</v>
      </c>
      <c r="OW85" t="s">
        <v>490</v>
      </c>
      <c r="OY85">
        <v>100</v>
      </c>
      <c r="OZ85">
        <v>20</v>
      </c>
      <c r="PA85">
        <v>0</v>
      </c>
      <c r="PB85">
        <v>0</v>
      </c>
      <c r="PC85">
        <v>0</v>
      </c>
      <c r="PD85">
        <v>0</v>
      </c>
      <c r="PE85">
        <v>0</v>
      </c>
      <c r="PF85">
        <v>0</v>
      </c>
      <c r="PG85">
        <v>10</v>
      </c>
      <c r="PH85">
        <v>0</v>
      </c>
      <c r="PI85">
        <v>25</v>
      </c>
      <c r="PJ85">
        <v>0</v>
      </c>
      <c r="PK85">
        <v>0</v>
      </c>
      <c r="PL85">
        <v>0</v>
      </c>
      <c r="PM85">
        <v>0</v>
      </c>
      <c r="PN85">
        <v>0</v>
      </c>
      <c r="PO85">
        <v>0</v>
      </c>
      <c r="PP85">
        <v>0</v>
      </c>
      <c r="PQ85">
        <v>15</v>
      </c>
      <c r="PR85">
        <v>0</v>
      </c>
      <c r="PT85" t="s">
        <v>488</v>
      </c>
      <c r="PU85" t="s">
        <v>497</v>
      </c>
      <c r="PV85">
        <v>3000</v>
      </c>
      <c r="PW85">
        <v>0</v>
      </c>
      <c r="PX85">
        <v>3000</v>
      </c>
      <c r="PY85" t="s">
        <v>493</v>
      </c>
      <c r="PZ85" t="s">
        <v>493</v>
      </c>
      <c r="QA85">
        <v>80</v>
      </c>
      <c r="QB85">
        <v>20</v>
      </c>
      <c r="QC85">
        <v>10</v>
      </c>
      <c r="QD85">
        <v>90</v>
      </c>
      <c r="QE85" t="s">
        <v>508</v>
      </c>
      <c r="QZ85">
        <v>1</v>
      </c>
      <c r="RA85">
        <v>1</v>
      </c>
      <c r="RB85" t="s">
        <v>489</v>
      </c>
      <c r="RC85" t="s">
        <v>490</v>
      </c>
      <c r="RD85" t="s">
        <v>489</v>
      </c>
      <c r="RE85" t="s">
        <v>490</v>
      </c>
      <c r="RF85" t="s">
        <v>490</v>
      </c>
      <c r="RG85" t="s">
        <v>490</v>
      </c>
      <c r="RH85" t="s">
        <v>490</v>
      </c>
      <c r="RI85" t="s">
        <v>490</v>
      </c>
      <c r="RR85" t="s">
        <v>541</v>
      </c>
    </row>
    <row r="86" spans="1:486">
      <c r="A86">
        <v>11568</v>
      </c>
      <c r="B86" t="s">
        <v>506</v>
      </c>
      <c r="C86" t="s">
        <v>974</v>
      </c>
      <c r="D86" t="s">
        <v>507</v>
      </c>
      <c r="E86" t="s">
        <v>500</v>
      </c>
      <c r="F86" t="s">
        <v>496</v>
      </c>
      <c r="G86">
        <v>60</v>
      </c>
      <c r="H86" t="s">
        <v>487</v>
      </c>
      <c r="I86" t="s">
        <v>487</v>
      </c>
      <c r="J86" t="s">
        <v>487</v>
      </c>
      <c r="K86" t="s">
        <v>487</v>
      </c>
      <c r="L86" t="s">
        <v>489</v>
      </c>
      <c r="M86" t="s">
        <v>489</v>
      </c>
      <c r="N86" t="s">
        <v>489</v>
      </c>
      <c r="O86" t="s">
        <v>489</v>
      </c>
      <c r="P86" t="s">
        <v>490</v>
      </c>
      <c r="Q86" t="s">
        <v>489</v>
      </c>
      <c r="R86" t="s">
        <v>489</v>
      </c>
      <c r="S86" t="s">
        <v>489</v>
      </c>
      <c r="T86" t="s">
        <v>489</v>
      </c>
      <c r="U86" t="s">
        <v>490</v>
      </c>
      <c r="V86" t="s">
        <v>490</v>
      </c>
      <c r="W86" t="s">
        <v>489</v>
      </c>
      <c r="X86" t="s">
        <v>490</v>
      </c>
      <c r="Y86" t="s">
        <v>490</v>
      </c>
      <c r="Z86" t="s">
        <v>490</v>
      </c>
      <c r="AA86" t="s">
        <v>490</v>
      </c>
      <c r="AB86" t="s">
        <v>489</v>
      </c>
      <c r="AC86" t="s">
        <v>489</v>
      </c>
      <c r="AD86" t="s">
        <v>490</v>
      </c>
      <c r="AE86" t="s">
        <v>490</v>
      </c>
      <c r="AF86" t="s">
        <v>489</v>
      </c>
      <c r="AG86" t="s">
        <v>490</v>
      </c>
      <c r="AH86" t="s">
        <v>490</v>
      </c>
      <c r="AI86" t="s">
        <v>489</v>
      </c>
      <c r="AJ86" t="s">
        <v>490</v>
      </c>
      <c r="AK86" t="s">
        <v>490</v>
      </c>
      <c r="AL86" t="s">
        <v>490</v>
      </c>
      <c r="AM86" t="s">
        <v>490</v>
      </c>
      <c r="AN86" t="s">
        <v>489</v>
      </c>
      <c r="AO86" t="s">
        <v>489</v>
      </c>
      <c r="AP86" t="s">
        <v>490</v>
      </c>
      <c r="AQ86" t="s">
        <v>490</v>
      </c>
      <c r="AR86" t="s">
        <v>490</v>
      </c>
      <c r="AS86" t="s">
        <v>490</v>
      </c>
      <c r="AT86" t="s">
        <v>489</v>
      </c>
      <c r="AU86" t="s">
        <v>489</v>
      </c>
      <c r="AV86" t="s">
        <v>490</v>
      </c>
      <c r="AW86" t="s">
        <v>490</v>
      </c>
      <c r="AX86" t="s">
        <v>489</v>
      </c>
      <c r="AY86" t="s">
        <v>489</v>
      </c>
      <c r="AZ86" t="s">
        <v>490</v>
      </c>
      <c r="BA86" t="s">
        <v>489</v>
      </c>
      <c r="BB86" t="s">
        <v>489</v>
      </c>
      <c r="BC86" t="s">
        <v>490</v>
      </c>
      <c r="BD86" t="s">
        <v>489</v>
      </c>
      <c r="BE86" t="s">
        <v>489</v>
      </c>
      <c r="BF86" t="s">
        <v>490</v>
      </c>
      <c r="BG86" t="s">
        <v>489</v>
      </c>
      <c r="BH86" t="s">
        <v>489</v>
      </c>
      <c r="BI86" t="s">
        <v>490</v>
      </c>
      <c r="BJ86" t="s">
        <v>489</v>
      </c>
      <c r="BK86" t="s">
        <v>489</v>
      </c>
      <c r="BL86" t="s">
        <v>490</v>
      </c>
      <c r="BM86" t="s">
        <v>489</v>
      </c>
      <c r="BN86" t="s">
        <v>489</v>
      </c>
      <c r="BO86" t="s">
        <v>490</v>
      </c>
      <c r="BP86" t="s">
        <v>490</v>
      </c>
      <c r="BQ86" t="s">
        <v>490</v>
      </c>
      <c r="BR86" t="s">
        <v>489</v>
      </c>
      <c r="BS86" t="s">
        <v>489</v>
      </c>
      <c r="BT86" t="s">
        <v>489</v>
      </c>
      <c r="BU86" t="s">
        <v>490</v>
      </c>
      <c r="BV86" t="s">
        <v>490</v>
      </c>
      <c r="BW86" t="s">
        <v>490</v>
      </c>
      <c r="BX86" t="s">
        <v>489</v>
      </c>
      <c r="BY86" t="s">
        <v>489</v>
      </c>
      <c r="BZ86" t="s">
        <v>489</v>
      </c>
      <c r="CA86" t="s">
        <v>490</v>
      </c>
      <c r="CB86" t="s">
        <v>489</v>
      </c>
      <c r="CC86" t="s">
        <v>489</v>
      </c>
      <c r="CD86" t="s">
        <v>490</v>
      </c>
      <c r="CE86" t="s">
        <v>490</v>
      </c>
      <c r="CF86" t="s">
        <v>490</v>
      </c>
      <c r="CG86" t="s">
        <v>489</v>
      </c>
      <c r="CH86" t="s">
        <v>489</v>
      </c>
      <c r="CI86" t="s">
        <v>489</v>
      </c>
      <c r="CJ86" t="s">
        <v>490</v>
      </c>
      <c r="CK86" t="s">
        <v>490</v>
      </c>
      <c r="CL86" t="s">
        <v>490</v>
      </c>
      <c r="CM86" t="s">
        <v>489</v>
      </c>
      <c r="CN86" t="s">
        <v>489</v>
      </c>
      <c r="CO86" t="s">
        <v>489</v>
      </c>
      <c r="CP86" t="s">
        <v>490</v>
      </c>
      <c r="CW86" t="s">
        <v>489</v>
      </c>
      <c r="CX86" t="s">
        <v>490</v>
      </c>
      <c r="CY86" t="s">
        <v>490</v>
      </c>
      <c r="CZ86" t="s">
        <v>490</v>
      </c>
      <c r="DA86" t="s">
        <v>490</v>
      </c>
      <c r="DB86" t="s">
        <v>489</v>
      </c>
      <c r="DC86" t="s">
        <v>490</v>
      </c>
      <c r="DD86" t="s">
        <v>490</v>
      </c>
      <c r="DE86" t="s">
        <v>489</v>
      </c>
      <c r="DF86" t="s">
        <v>490</v>
      </c>
      <c r="DG86" t="s">
        <v>490</v>
      </c>
      <c r="DH86" t="s">
        <v>489</v>
      </c>
      <c r="DI86" t="s">
        <v>490</v>
      </c>
      <c r="DJ86" t="s">
        <v>490</v>
      </c>
      <c r="DK86" t="s">
        <v>489</v>
      </c>
      <c r="DL86" t="s">
        <v>489</v>
      </c>
      <c r="DM86" t="s">
        <v>489</v>
      </c>
      <c r="DN86" t="s">
        <v>490</v>
      </c>
      <c r="DO86" t="s">
        <v>490</v>
      </c>
      <c r="DP86" t="s">
        <v>490</v>
      </c>
      <c r="DQ86" t="s">
        <v>489</v>
      </c>
      <c r="DR86" t="s">
        <v>489</v>
      </c>
      <c r="DS86" t="s">
        <v>489</v>
      </c>
      <c r="DT86" t="s">
        <v>490</v>
      </c>
      <c r="DU86" t="s">
        <v>489</v>
      </c>
      <c r="DV86" t="s">
        <v>489</v>
      </c>
      <c r="DW86" t="s">
        <v>490</v>
      </c>
      <c r="DX86" t="s">
        <v>490</v>
      </c>
      <c r="DY86" t="s">
        <v>490</v>
      </c>
      <c r="DZ86" t="s">
        <v>489</v>
      </c>
      <c r="EA86" t="s">
        <v>490</v>
      </c>
      <c r="EB86" t="s">
        <v>489</v>
      </c>
      <c r="EC86" t="s">
        <v>490</v>
      </c>
      <c r="ED86" t="s">
        <v>490</v>
      </c>
      <c r="EE86" t="s">
        <v>489</v>
      </c>
      <c r="EF86" t="s">
        <v>490</v>
      </c>
      <c r="EG86" t="s">
        <v>490</v>
      </c>
      <c r="EH86" t="s">
        <v>490</v>
      </c>
      <c r="EI86" t="s">
        <v>489</v>
      </c>
      <c r="EJ86" t="s">
        <v>490</v>
      </c>
      <c r="EK86" t="s">
        <v>489</v>
      </c>
      <c r="EL86" t="s">
        <v>490</v>
      </c>
      <c r="EM86" t="s">
        <v>490</v>
      </c>
      <c r="EN86" t="s">
        <v>490</v>
      </c>
      <c r="EO86" t="s">
        <v>489</v>
      </c>
      <c r="EP86" t="s">
        <v>490</v>
      </c>
      <c r="EQ86" t="s">
        <v>490</v>
      </c>
      <c r="ER86" t="s">
        <v>489</v>
      </c>
      <c r="ES86" t="s">
        <v>490</v>
      </c>
      <c r="ET86" t="s">
        <v>489</v>
      </c>
      <c r="EU86" t="s">
        <v>490</v>
      </c>
      <c r="EV86" t="s">
        <v>490</v>
      </c>
      <c r="EW86" t="s">
        <v>490</v>
      </c>
      <c r="EX86" t="s">
        <v>489</v>
      </c>
      <c r="EY86">
        <v>20</v>
      </c>
      <c r="EZ86">
        <v>20</v>
      </c>
      <c r="FA86">
        <v>80</v>
      </c>
      <c r="FB86" t="s">
        <v>491</v>
      </c>
      <c r="FC86">
        <v>0</v>
      </c>
      <c r="FE86">
        <v>0</v>
      </c>
      <c r="FI86">
        <v>0</v>
      </c>
      <c r="FK86">
        <v>0</v>
      </c>
      <c r="FM86">
        <v>0</v>
      </c>
      <c r="FQ86">
        <v>0</v>
      </c>
      <c r="FU86">
        <v>0</v>
      </c>
      <c r="HK86">
        <v>0</v>
      </c>
      <c r="HL86">
        <v>0</v>
      </c>
      <c r="HM86">
        <v>0</v>
      </c>
      <c r="HN86">
        <v>0</v>
      </c>
      <c r="HO86">
        <v>0</v>
      </c>
      <c r="HP86">
        <v>0</v>
      </c>
      <c r="HR86">
        <v>0</v>
      </c>
      <c r="OH86" s="15">
        <v>10</v>
      </c>
      <c r="OI86" s="15">
        <v>10</v>
      </c>
      <c r="OJ86" s="15">
        <v>7</v>
      </c>
      <c r="OK86" s="15">
        <v>2</v>
      </c>
      <c r="OL86" s="15">
        <v>8</v>
      </c>
      <c r="OM86" s="15">
        <v>10</v>
      </c>
      <c r="ON86" s="15">
        <v>7</v>
      </c>
      <c r="OO86" s="15">
        <v>5</v>
      </c>
      <c r="OQ86" t="s">
        <v>487</v>
      </c>
      <c r="OR86" t="s">
        <v>487</v>
      </c>
      <c r="OS86" t="s">
        <v>489</v>
      </c>
      <c r="OT86" t="s">
        <v>489</v>
      </c>
      <c r="OU86" t="s">
        <v>489</v>
      </c>
      <c r="OV86" t="s">
        <v>489</v>
      </c>
      <c r="OW86" t="s">
        <v>490</v>
      </c>
      <c r="PT86" t="s">
        <v>487</v>
      </c>
      <c r="PU86" t="s">
        <v>497</v>
      </c>
      <c r="PV86">
        <v>300000</v>
      </c>
      <c r="PW86">
        <v>150000</v>
      </c>
      <c r="PX86">
        <v>450000</v>
      </c>
      <c r="PY86" t="s">
        <v>493</v>
      </c>
      <c r="PZ86" t="s">
        <v>493</v>
      </c>
      <c r="QA86">
        <v>40</v>
      </c>
      <c r="QB86">
        <v>60</v>
      </c>
      <c r="QC86">
        <v>60</v>
      </c>
      <c r="QD86">
        <v>40</v>
      </c>
      <c r="QE86" t="s">
        <v>508</v>
      </c>
      <c r="QZ86">
        <v>2</v>
      </c>
      <c r="RA86">
        <v>1</v>
      </c>
      <c r="RB86" t="s">
        <v>489</v>
      </c>
      <c r="RC86" t="s">
        <v>490</v>
      </c>
      <c r="RD86" t="s">
        <v>489</v>
      </c>
      <c r="RE86" t="s">
        <v>490</v>
      </c>
      <c r="RF86" t="s">
        <v>490</v>
      </c>
      <c r="RG86" t="s">
        <v>489</v>
      </c>
      <c r="RH86" t="s">
        <v>489</v>
      </c>
      <c r="RI86" t="s">
        <v>490</v>
      </c>
      <c r="RJ86" t="s">
        <v>542</v>
      </c>
    </row>
    <row r="87" spans="1:486">
      <c r="A87">
        <v>11507</v>
      </c>
      <c r="B87" t="s">
        <v>506</v>
      </c>
      <c r="C87" t="s">
        <v>974</v>
      </c>
      <c r="D87" t="s">
        <v>507</v>
      </c>
      <c r="E87" t="s">
        <v>500</v>
      </c>
      <c r="F87" t="s">
        <v>505</v>
      </c>
      <c r="G87">
        <v>3</v>
      </c>
      <c r="H87" t="s">
        <v>487</v>
      </c>
      <c r="I87" t="s">
        <v>487</v>
      </c>
      <c r="J87" t="s">
        <v>487</v>
      </c>
      <c r="K87" t="s">
        <v>487</v>
      </c>
      <c r="L87" t="s">
        <v>489</v>
      </c>
      <c r="M87" t="s">
        <v>489</v>
      </c>
      <c r="N87" t="s">
        <v>489</v>
      </c>
      <c r="O87" t="s">
        <v>490</v>
      </c>
      <c r="P87" t="s">
        <v>490</v>
      </c>
      <c r="Q87" t="s">
        <v>490</v>
      </c>
      <c r="R87" t="s">
        <v>490</v>
      </c>
      <c r="S87" t="s">
        <v>490</v>
      </c>
      <c r="T87" t="s">
        <v>489</v>
      </c>
      <c r="U87" t="s">
        <v>490</v>
      </c>
      <c r="V87" t="s">
        <v>490</v>
      </c>
      <c r="W87" t="s">
        <v>489</v>
      </c>
      <c r="X87" t="s">
        <v>490</v>
      </c>
      <c r="Y87" t="s">
        <v>490</v>
      </c>
      <c r="Z87" t="s">
        <v>490</v>
      </c>
      <c r="AA87" t="s">
        <v>490</v>
      </c>
      <c r="AB87" t="s">
        <v>489</v>
      </c>
      <c r="AC87" t="s">
        <v>489</v>
      </c>
      <c r="AD87" t="s">
        <v>489</v>
      </c>
      <c r="AE87" t="s">
        <v>490</v>
      </c>
      <c r="AF87" t="s">
        <v>490</v>
      </c>
      <c r="AG87" t="s">
        <v>490</v>
      </c>
      <c r="AH87" t="s">
        <v>489</v>
      </c>
      <c r="AI87" t="s">
        <v>489</v>
      </c>
      <c r="AJ87" t="s">
        <v>490</v>
      </c>
      <c r="AK87" t="s">
        <v>490</v>
      </c>
      <c r="AL87" t="s">
        <v>490</v>
      </c>
      <c r="AM87" t="s">
        <v>490</v>
      </c>
      <c r="AN87" t="s">
        <v>489</v>
      </c>
      <c r="AO87" t="s">
        <v>489</v>
      </c>
      <c r="AP87" t="s">
        <v>490</v>
      </c>
      <c r="AQ87" t="s">
        <v>490</v>
      </c>
      <c r="AR87" t="s">
        <v>490</v>
      </c>
      <c r="AS87" t="s">
        <v>490</v>
      </c>
      <c r="AT87" t="s">
        <v>489</v>
      </c>
      <c r="AU87" t="s">
        <v>489</v>
      </c>
      <c r="AV87" t="s">
        <v>490</v>
      </c>
      <c r="AW87" t="s">
        <v>490</v>
      </c>
      <c r="AX87" t="s">
        <v>489</v>
      </c>
      <c r="AY87" t="s">
        <v>489</v>
      </c>
      <c r="AZ87" t="s">
        <v>490</v>
      </c>
      <c r="BA87" t="s">
        <v>489</v>
      </c>
      <c r="BB87" t="s">
        <v>489</v>
      </c>
      <c r="BC87" t="s">
        <v>490</v>
      </c>
      <c r="BD87" t="s">
        <v>489</v>
      </c>
      <c r="BE87" t="s">
        <v>490</v>
      </c>
      <c r="BF87" t="s">
        <v>490</v>
      </c>
      <c r="BG87" t="s">
        <v>489</v>
      </c>
      <c r="BH87" t="s">
        <v>490</v>
      </c>
      <c r="BI87" t="s">
        <v>490</v>
      </c>
      <c r="BJ87" t="s">
        <v>489</v>
      </c>
      <c r="BK87" t="s">
        <v>490</v>
      </c>
      <c r="BL87" t="s">
        <v>490</v>
      </c>
      <c r="BM87" t="s">
        <v>489</v>
      </c>
      <c r="BN87" t="s">
        <v>490</v>
      </c>
      <c r="BO87" t="s">
        <v>490</v>
      </c>
      <c r="BP87" t="s">
        <v>490</v>
      </c>
      <c r="BQ87" t="s">
        <v>490</v>
      </c>
      <c r="BR87" t="s">
        <v>489</v>
      </c>
      <c r="BS87" t="s">
        <v>490</v>
      </c>
      <c r="BT87" t="s">
        <v>490</v>
      </c>
      <c r="BU87" t="s">
        <v>489</v>
      </c>
      <c r="BV87" t="s">
        <v>489</v>
      </c>
      <c r="BW87" t="s">
        <v>489</v>
      </c>
      <c r="BX87" t="s">
        <v>490</v>
      </c>
      <c r="BY87" t="s">
        <v>489</v>
      </c>
      <c r="BZ87" t="s">
        <v>489</v>
      </c>
      <c r="CA87" t="s">
        <v>490</v>
      </c>
      <c r="EY87">
        <v>95</v>
      </c>
      <c r="EZ87">
        <v>2</v>
      </c>
      <c r="FA87">
        <v>3</v>
      </c>
      <c r="FB87" t="s">
        <v>543</v>
      </c>
      <c r="OH87" s="15">
        <v>3</v>
      </c>
      <c r="OI87" s="15">
        <v>5</v>
      </c>
      <c r="OJ87" s="15">
        <v>6</v>
      </c>
      <c r="OK87" s="15">
        <v>4</v>
      </c>
      <c r="OL87" s="15">
        <v>9</v>
      </c>
      <c r="OM87" s="15">
        <v>10</v>
      </c>
      <c r="ON87" s="15">
        <v>2</v>
      </c>
      <c r="OO87" s="15">
        <v>1</v>
      </c>
      <c r="OQ87" t="s">
        <v>488</v>
      </c>
      <c r="OR87" t="s">
        <v>487</v>
      </c>
      <c r="OS87" t="s">
        <v>489</v>
      </c>
      <c r="OT87" t="s">
        <v>490</v>
      </c>
      <c r="OU87" t="s">
        <v>490</v>
      </c>
      <c r="OV87" t="s">
        <v>490</v>
      </c>
      <c r="OW87" t="s">
        <v>490</v>
      </c>
      <c r="OY87">
        <v>5</v>
      </c>
      <c r="OZ87">
        <v>2</v>
      </c>
      <c r="PA87">
        <v>0</v>
      </c>
      <c r="PB87">
        <v>0</v>
      </c>
      <c r="PC87">
        <v>0</v>
      </c>
      <c r="PD87">
        <v>0</v>
      </c>
      <c r="PE87">
        <v>0</v>
      </c>
      <c r="PF87">
        <v>0</v>
      </c>
      <c r="PG87">
        <v>0</v>
      </c>
      <c r="PH87">
        <v>0</v>
      </c>
      <c r="PI87">
        <v>5</v>
      </c>
      <c r="PJ87">
        <v>4</v>
      </c>
      <c r="PK87">
        <v>0</v>
      </c>
      <c r="PL87">
        <v>0</v>
      </c>
      <c r="PM87">
        <v>0</v>
      </c>
      <c r="PN87">
        <v>0</v>
      </c>
      <c r="PO87">
        <v>0</v>
      </c>
      <c r="PP87">
        <v>0</v>
      </c>
      <c r="PQ87">
        <v>0</v>
      </c>
      <c r="PR87">
        <v>0</v>
      </c>
      <c r="PT87" t="s">
        <v>488</v>
      </c>
      <c r="PU87" t="s">
        <v>497</v>
      </c>
      <c r="PV87">
        <v>20000</v>
      </c>
      <c r="PW87">
        <v>0</v>
      </c>
      <c r="PX87">
        <v>20000</v>
      </c>
      <c r="PY87" t="s">
        <v>493</v>
      </c>
      <c r="PZ87" t="s">
        <v>493</v>
      </c>
      <c r="QA87">
        <v>65</v>
      </c>
      <c r="QB87">
        <v>35</v>
      </c>
      <c r="QC87">
        <v>40</v>
      </c>
      <c r="QD87">
        <v>60</v>
      </c>
      <c r="QE87" t="s">
        <v>494</v>
      </c>
      <c r="QF87">
        <v>0</v>
      </c>
      <c r="QG87">
        <v>0</v>
      </c>
      <c r="QH87">
        <v>0</v>
      </c>
      <c r="QI87">
        <v>0</v>
      </c>
      <c r="QJ87">
        <v>80</v>
      </c>
      <c r="QK87">
        <v>0</v>
      </c>
      <c r="QL87">
        <v>5</v>
      </c>
      <c r="QM87">
        <v>15</v>
      </c>
      <c r="QN87">
        <v>0</v>
      </c>
      <c r="QP87">
        <v>35</v>
      </c>
      <c r="QQ87">
        <v>50</v>
      </c>
      <c r="QR87">
        <v>0</v>
      </c>
      <c r="QS87">
        <v>0</v>
      </c>
      <c r="QT87">
        <v>5</v>
      </c>
      <c r="QU87">
        <v>5</v>
      </c>
      <c r="QV87">
        <v>5</v>
      </c>
      <c r="QW87">
        <v>0</v>
      </c>
      <c r="QX87">
        <v>0</v>
      </c>
      <c r="QZ87">
        <v>2</v>
      </c>
      <c r="RA87">
        <v>5</v>
      </c>
      <c r="RB87" t="s">
        <v>489</v>
      </c>
      <c r="RC87" t="s">
        <v>490</v>
      </c>
      <c r="RD87" t="s">
        <v>490</v>
      </c>
      <c r="RE87" t="s">
        <v>490</v>
      </c>
      <c r="RF87" t="s">
        <v>490</v>
      </c>
      <c r="RG87" t="s">
        <v>490</v>
      </c>
      <c r="RH87" t="s">
        <v>490</v>
      </c>
      <c r="RI87" t="s">
        <v>490</v>
      </c>
      <c r="RR87" t="s">
        <v>544</v>
      </c>
    </row>
    <row r="88" spans="1:486">
      <c r="A88">
        <v>1003394</v>
      </c>
      <c r="B88" t="s">
        <v>506</v>
      </c>
      <c r="C88" t="s">
        <v>974</v>
      </c>
      <c r="D88" t="s">
        <v>507</v>
      </c>
      <c r="E88" t="s">
        <v>500</v>
      </c>
      <c r="F88" t="s">
        <v>496</v>
      </c>
      <c r="G88">
        <v>20</v>
      </c>
      <c r="H88" t="s">
        <v>487</v>
      </c>
      <c r="I88" t="s">
        <v>487</v>
      </c>
      <c r="J88" t="s">
        <v>487</v>
      </c>
      <c r="K88" t="s">
        <v>487</v>
      </c>
      <c r="L88" t="s">
        <v>489</v>
      </c>
      <c r="M88" t="s">
        <v>489</v>
      </c>
      <c r="N88" t="s">
        <v>489</v>
      </c>
      <c r="O88" t="s">
        <v>490</v>
      </c>
      <c r="P88" t="s">
        <v>490</v>
      </c>
      <c r="Q88" t="s">
        <v>490</v>
      </c>
      <c r="R88" t="s">
        <v>489</v>
      </c>
      <c r="S88" t="s">
        <v>489</v>
      </c>
      <c r="T88" t="s">
        <v>489</v>
      </c>
      <c r="U88" t="s">
        <v>490</v>
      </c>
      <c r="V88" t="s">
        <v>490</v>
      </c>
      <c r="W88" t="s">
        <v>489</v>
      </c>
      <c r="X88" t="s">
        <v>490</v>
      </c>
      <c r="Y88" t="s">
        <v>490</v>
      </c>
      <c r="Z88" t="s">
        <v>490</v>
      </c>
      <c r="AA88" t="s">
        <v>490</v>
      </c>
      <c r="AB88" t="s">
        <v>489</v>
      </c>
      <c r="AC88" t="s">
        <v>489</v>
      </c>
      <c r="AD88" t="s">
        <v>489</v>
      </c>
      <c r="AE88" t="s">
        <v>490</v>
      </c>
      <c r="AF88" t="s">
        <v>490</v>
      </c>
      <c r="AG88" t="s">
        <v>490</v>
      </c>
      <c r="AH88" t="s">
        <v>489</v>
      </c>
      <c r="AI88" t="s">
        <v>489</v>
      </c>
      <c r="AJ88" t="s">
        <v>490</v>
      </c>
      <c r="AK88" t="s">
        <v>490</v>
      </c>
      <c r="AL88" t="s">
        <v>489</v>
      </c>
      <c r="AM88" t="s">
        <v>490</v>
      </c>
      <c r="AN88" t="s">
        <v>490</v>
      </c>
      <c r="AO88" t="s">
        <v>489</v>
      </c>
      <c r="AP88" t="s">
        <v>490</v>
      </c>
      <c r="AQ88" t="s">
        <v>490</v>
      </c>
      <c r="AR88" t="s">
        <v>489</v>
      </c>
      <c r="AS88" t="s">
        <v>489</v>
      </c>
      <c r="AT88" t="s">
        <v>490</v>
      </c>
      <c r="AU88" t="s">
        <v>489</v>
      </c>
      <c r="AV88" t="s">
        <v>489</v>
      </c>
      <c r="AW88" t="s">
        <v>490</v>
      </c>
      <c r="AX88" t="s">
        <v>489</v>
      </c>
      <c r="AY88" t="s">
        <v>490</v>
      </c>
      <c r="AZ88" t="s">
        <v>490</v>
      </c>
      <c r="BA88" t="s">
        <v>489</v>
      </c>
      <c r="BB88" t="s">
        <v>490</v>
      </c>
      <c r="BC88" t="s">
        <v>490</v>
      </c>
      <c r="BD88" t="s">
        <v>489</v>
      </c>
      <c r="BE88" t="s">
        <v>489</v>
      </c>
      <c r="BF88" t="s">
        <v>490</v>
      </c>
      <c r="BG88" t="s">
        <v>489</v>
      </c>
      <c r="BH88" t="s">
        <v>490</v>
      </c>
      <c r="BI88" t="s">
        <v>490</v>
      </c>
      <c r="BJ88" t="s">
        <v>489</v>
      </c>
      <c r="BK88" t="s">
        <v>490</v>
      </c>
      <c r="BL88" t="s">
        <v>490</v>
      </c>
      <c r="BM88" t="s">
        <v>489</v>
      </c>
      <c r="BN88" t="s">
        <v>489</v>
      </c>
      <c r="BO88" t="s">
        <v>490</v>
      </c>
      <c r="BP88" t="s">
        <v>490</v>
      </c>
      <c r="BQ88" t="s">
        <v>490</v>
      </c>
      <c r="BR88" t="s">
        <v>489</v>
      </c>
      <c r="BS88" t="s">
        <v>490</v>
      </c>
      <c r="BT88" t="s">
        <v>490</v>
      </c>
      <c r="BU88" t="s">
        <v>489</v>
      </c>
      <c r="BV88" t="s">
        <v>489</v>
      </c>
      <c r="BW88" t="s">
        <v>489</v>
      </c>
      <c r="BX88" t="s">
        <v>490</v>
      </c>
      <c r="BY88" t="s">
        <v>489</v>
      </c>
      <c r="BZ88" t="s">
        <v>489</v>
      </c>
      <c r="CA88" t="s">
        <v>490</v>
      </c>
      <c r="DI88" t="s">
        <v>489</v>
      </c>
      <c r="DJ88" t="s">
        <v>490</v>
      </c>
      <c r="DK88" t="s">
        <v>490</v>
      </c>
      <c r="DL88" t="s">
        <v>489</v>
      </c>
      <c r="DM88" t="s">
        <v>489</v>
      </c>
      <c r="DN88" t="s">
        <v>490</v>
      </c>
      <c r="DO88" t="s">
        <v>490</v>
      </c>
      <c r="DP88" t="s">
        <v>490</v>
      </c>
      <c r="DQ88" t="s">
        <v>489</v>
      </c>
      <c r="DR88" t="s">
        <v>489</v>
      </c>
      <c r="DS88" t="s">
        <v>489</v>
      </c>
      <c r="DT88" t="s">
        <v>490</v>
      </c>
      <c r="DU88" t="s">
        <v>489</v>
      </c>
      <c r="DV88" t="s">
        <v>489</v>
      </c>
      <c r="DW88" t="s">
        <v>490</v>
      </c>
      <c r="DX88" t="s">
        <v>489</v>
      </c>
      <c r="DY88" t="s">
        <v>490</v>
      </c>
      <c r="DZ88" t="s">
        <v>490</v>
      </c>
      <c r="EA88" t="s">
        <v>490</v>
      </c>
      <c r="EB88" t="s">
        <v>489</v>
      </c>
      <c r="EC88" t="s">
        <v>490</v>
      </c>
      <c r="ED88" t="s">
        <v>490</v>
      </c>
      <c r="EE88" t="s">
        <v>490</v>
      </c>
      <c r="EF88" t="s">
        <v>489</v>
      </c>
      <c r="EG88" t="s">
        <v>490</v>
      </c>
      <c r="EH88" t="s">
        <v>490</v>
      </c>
      <c r="EI88" t="s">
        <v>489</v>
      </c>
      <c r="EJ88" t="s">
        <v>490</v>
      </c>
      <c r="EK88" t="s">
        <v>489</v>
      </c>
      <c r="EL88" t="s">
        <v>490</v>
      </c>
      <c r="EM88" t="s">
        <v>490</v>
      </c>
      <c r="EN88" t="s">
        <v>490</v>
      </c>
      <c r="EO88" t="s">
        <v>489</v>
      </c>
      <c r="EP88" t="s">
        <v>490</v>
      </c>
      <c r="EQ88" t="s">
        <v>489</v>
      </c>
      <c r="ER88" t="s">
        <v>490</v>
      </c>
      <c r="ES88" t="s">
        <v>490</v>
      </c>
      <c r="ET88" t="s">
        <v>489</v>
      </c>
      <c r="EU88" t="s">
        <v>490</v>
      </c>
      <c r="EV88" t="s">
        <v>490</v>
      </c>
      <c r="EW88" t="s">
        <v>489</v>
      </c>
      <c r="EX88" t="s">
        <v>490</v>
      </c>
      <c r="EY88">
        <v>90</v>
      </c>
      <c r="EZ88">
        <v>2</v>
      </c>
      <c r="FA88">
        <v>98</v>
      </c>
      <c r="FB88" t="s">
        <v>543</v>
      </c>
      <c r="OH88" s="15">
        <v>4</v>
      </c>
      <c r="OI88" s="15">
        <v>5</v>
      </c>
      <c r="OJ88" s="15">
        <v>4</v>
      </c>
      <c r="OK88" s="15">
        <v>2</v>
      </c>
      <c r="OL88" s="15">
        <v>8</v>
      </c>
      <c r="OM88" s="15">
        <v>8</v>
      </c>
      <c r="ON88" s="15">
        <v>4</v>
      </c>
      <c r="OO88" s="15">
        <v>1</v>
      </c>
      <c r="OQ88" t="s">
        <v>487</v>
      </c>
      <c r="OR88" t="s">
        <v>487</v>
      </c>
      <c r="OS88" t="s">
        <v>489</v>
      </c>
      <c r="OT88" t="s">
        <v>489</v>
      </c>
      <c r="OU88" t="s">
        <v>489</v>
      </c>
      <c r="OV88" t="s">
        <v>489</v>
      </c>
      <c r="OW88" t="s">
        <v>490</v>
      </c>
      <c r="OY88">
        <v>10</v>
      </c>
      <c r="OZ88">
        <v>90</v>
      </c>
      <c r="PA88">
        <v>90</v>
      </c>
      <c r="PB88">
        <v>90</v>
      </c>
      <c r="PC88">
        <v>0</v>
      </c>
      <c r="PD88">
        <v>10</v>
      </c>
      <c r="PE88">
        <v>5</v>
      </c>
      <c r="PF88">
        <v>25</v>
      </c>
      <c r="PG88">
        <v>25</v>
      </c>
      <c r="PH88">
        <v>0</v>
      </c>
      <c r="PI88">
        <v>10</v>
      </c>
      <c r="PJ88">
        <v>90</v>
      </c>
      <c r="PK88">
        <v>90</v>
      </c>
      <c r="PL88">
        <v>90</v>
      </c>
      <c r="PM88">
        <v>0</v>
      </c>
      <c r="PN88">
        <v>10</v>
      </c>
      <c r="PO88">
        <v>5</v>
      </c>
      <c r="PP88">
        <v>25</v>
      </c>
      <c r="PQ88">
        <v>25</v>
      </c>
      <c r="PR88">
        <v>0</v>
      </c>
      <c r="PT88" t="s">
        <v>487</v>
      </c>
      <c r="PU88" t="s">
        <v>497</v>
      </c>
      <c r="PV88">
        <v>450000</v>
      </c>
      <c r="PW88">
        <v>124000</v>
      </c>
      <c r="PX88">
        <v>574000</v>
      </c>
      <c r="PY88" t="s">
        <v>493</v>
      </c>
      <c r="PZ88" t="s">
        <v>493</v>
      </c>
      <c r="QA88">
        <v>40</v>
      </c>
      <c r="QB88">
        <v>60</v>
      </c>
      <c r="QC88">
        <v>90</v>
      </c>
      <c r="QD88">
        <v>10</v>
      </c>
      <c r="QE88" t="s">
        <v>494</v>
      </c>
      <c r="QF88">
        <v>15</v>
      </c>
      <c r="QG88">
        <v>4</v>
      </c>
      <c r="QH88">
        <v>2</v>
      </c>
      <c r="QI88">
        <v>4</v>
      </c>
      <c r="QJ88">
        <v>30</v>
      </c>
      <c r="QK88">
        <v>0</v>
      </c>
      <c r="QL88">
        <v>30</v>
      </c>
      <c r="QM88">
        <v>15</v>
      </c>
      <c r="QN88">
        <v>0</v>
      </c>
      <c r="QP88">
        <v>10</v>
      </c>
      <c r="QQ88">
        <v>30</v>
      </c>
      <c r="QR88">
        <v>5</v>
      </c>
      <c r="QS88">
        <v>5</v>
      </c>
      <c r="QT88">
        <v>10</v>
      </c>
      <c r="QU88">
        <v>25</v>
      </c>
      <c r="QV88">
        <v>5</v>
      </c>
      <c r="QW88">
        <v>10</v>
      </c>
      <c r="QX88">
        <v>0</v>
      </c>
      <c r="QZ88">
        <v>4</v>
      </c>
      <c r="RA88">
        <v>30</v>
      </c>
      <c r="RB88" t="s">
        <v>489</v>
      </c>
      <c r="RC88" t="s">
        <v>490</v>
      </c>
      <c r="RD88" t="s">
        <v>489</v>
      </c>
      <c r="RE88" t="s">
        <v>489</v>
      </c>
      <c r="RF88" t="s">
        <v>490</v>
      </c>
      <c r="RG88" t="s">
        <v>490</v>
      </c>
      <c r="RH88" t="s">
        <v>489</v>
      </c>
      <c r="RI88" t="s">
        <v>490</v>
      </c>
    </row>
    <row r="89" spans="1:486">
      <c r="A89">
        <v>1003638</v>
      </c>
      <c r="B89" t="s">
        <v>506</v>
      </c>
      <c r="C89" t="s">
        <v>974</v>
      </c>
      <c r="D89" t="s">
        <v>507</v>
      </c>
      <c r="E89" t="s">
        <v>500</v>
      </c>
      <c r="F89" t="s">
        <v>496</v>
      </c>
      <c r="G89">
        <v>9.6999999999999993</v>
      </c>
      <c r="H89" t="s">
        <v>487</v>
      </c>
      <c r="I89" t="s">
        <v>487</v>
      </c>
      <c r="J89" t="s">
        <v>487</v>
      </c>
      <c r="K89" t="s">
        <v>488</v>
      </c>
      <c r="L89" t="s">
        <v>489</v>
      </c>
      <c r="M89" t="s">
        <v>489</v>
      </c>
      <c r="N89" t="s">
        <v>489</v>
      </c>
      <c r="O89" t="s">
        <v>489</v>
      </c>
      <c r="P89" t="s">
        <v>489</v>
      </c>
      <c r="Q89" t="s">
        <v>489</v>
      </c>
      <c r="R89" t="s">
        <v>489</v>
      </c>
      <c r="S89" t="s">
        <v>489</v>
      </c>
      <c r="T89" t="s">
        <v>489</v>
      </c>
      <c r="U89" t="s">
        <v>490</v>
      </c>
      <c r="V89" t="s">
        <v>490</v>
      </c>
      <c r="W89" t="s">
        <v>489</v>
      </c>
      <c r="X89" t="s">
        <v>490</v>
      </c>
      <c r="Y89" t="s">
        <v>490</v>
      </c>
      <c r="Z89" t="s">
        <v>490</v>
      </c>
      <c r="AA89" t="s">
        <v>490</v>
      </c>
      <c r="AB89" t="s">
        <v>489</v>
      </c>
      <c r="AC89" t="s">
        <v>489</v>
      </c>
      <c r="AD89" t="s">
        <v>489</v>
      </c>
      <c r="AE89" t="s">
        <v>490</v>
      </c>
      <c r="AF89" t="s">
        <v>489</v>
      </c>
      <c r="AG89" t="s">
        <v>490</v>
      </c>
      <c r="AH89" t="s">
        <v>490</v>
      </c>
      <c r="AI89" t="s">
        <v>489</v>
      </c>
      <c r="AJ89" t="s">
        <v>490</v>
      </c>
      <c r="AK89" t="s">
        <v>490</v>
      </c>
      <c r="AL89" t="s">
        <v>489</v>
      </c>
      <c r="AM89" t="s">
        <v>489</v>
      </c>
      <c r="AN89" t="s">
        <v>490</v>
      </c>
      <c r="AO89" t="s">
        <v>489</v>
      </c>
      <c r="AP89" t="s">
        <v>489</v>
      </c>
      <c r="AQ89" t="s">
        <v>490</v>
      </c>
      <c r="AR89" t="s">
        <v>489</v>
      </c>
      <c r="AS89" t="s">
        <v>489</v>
      </c>
      <c r="AT89" t="s">
        <v>490</v>
      </c>
      <c r="AU89" t="s">
        <v>490</v>
      </c>
      <c r="AV89" t="s">
        <v>490</v>
      </c>
      <c r="AW89" t="s">
        <v>489</v>
      </c>
      <c r="AX89" t="s">
        <v>489</v>
      </c>
      <c r="AY89" t="s">
        <v>489</v>
      </c>
      <c r="AZ89" t="s">
        <v>490</v>
      </c>
      <c r="BA89" t="s">
        <v>489</v>
      </c>
      <c r="BB89" t="s">
        <v>489</v>
      </c>
      <c r="BC89" t="s">
        <v>490</v>
      </c>
      <c r="BD89" t="s">
        <v>489</v>
      </c>
      <c r="BE89" t="s">
        <v>489</v>
      </c>
      <c r="BF89" t="s">
        <v>490</v>
      </c>
      <c r="BG89" t="s">
        <v>489</v>
      </c>
      <c r="BH89" t="s">
        <v>489</v>
      </c>
      <c r="BI89" t="s">
        <v>490</v>
      </c>
      <c r="BJ89" t="s">
        <v>489</v>
      </c>
      <c r="BK89" t="s">
        <v>489</v>
      </c>
      <c r="BL89" t="s">
        <v>490</v>
      </c>
      <c r="BM89" t="s">
        <v>489</v>
      </c>
      <c r="BN89" t="s">
        <v>489</v>
      </c>
      <c r="BO89" t="s">
        <v>490</v>
      </c>
      <c r="BP89" t="s">
        <v>489</v>
      </c>
      <c r="BQ89" t="s">
        <v>489</v>
      </c>
      <c r="BR89" t="s">
        <v>490</v>
      </c>
      <c r="BS89" t="s">
        <v>489</v>
      </c>
      <c r="BT89" t="s">
        <v>489</v>
      </c>
      <c r="BU89" t="s">
        <v>490</v>
      </c>
      <c r="BV89" t="s">
        <v>489</v>
      </c>
      <c r="BW89" t="s">
        <v>489</v>
      </c>
      <c r="BX89" t="s">
        <v>490</v>
      </c>
      <c r="BY89" t="s">
        <v>489</v>
      </c>
      <c r="BZ89" t="s">
        <v>489</v>
      </c>
      <c r="CA89" t="s">
        <v>490</v>
      </c>
      <c r="CB89" t="s">
        <v>490</v>
      </c>
      <c r="CC89" t="s">
        <v>490</v>
      </c>
      <c r="CD89" t="s">
        <v>489</v>
      </c>
      <c r="CE89" t="s">
        <v>490</v>
      </c>
      <c r="CF89" t="s">
        <v>490</v>
      </c>
      <c r="CG89" t="s">
        <v>489</v>
      </c>
      <c r="CH89" t="s">
        <v>490</v>
      </c>
      <c r="CI89" t="s">
        <v>490</v>
      </c>
      <c r="CJ89" t="s">
        <v>489</v>
      </c>
      <c r="CK89" t="s">
        <v>489</v>
      </c>
      <c r="CL89" t="s">
        <v>490</v>
      </c>
      <c r="CM89" t="s">
        <v>490</v>
      </c>
      <c r="CN89" t="s">
        <v>489</v>
      </c>
      <c r="CO89" t="s">
        <v>490</v>
      </c>
      <c r="CP89" t="s">
        <v>490</v>
      </c>
      <c r="CQ89" t="s">
        <v>490</v>
      </c>
      <c r="CR89" t="s">
        <v>490</v>
      </c>
      <c r="CS89" t="s">
        <v>489</v>
      </c>
      <c r="CT89" t="s">
        <v>490</v>
      </c>
      <c r="CU89" t="s">
        <v>490</v>
      </c>
      <c r="CV89" t="s">
        <v>489</v>
      </c>
      <c r="CW89" t="s">
        <v>490</v>
      </c>
      <c r="CX89" t="s">
        <v>490</v>
      </c>
      <c r="CY89" t="s">
        <v>489</v>
      </c>
      <c r="CZ89" t="s">
        <v>490</v>
      </c>
      <c r="DA89" t="s">
        <v>490</v>
      </c>
      <c r="DB89" t="s">
        <v>489</v>
      </c>
      <c r="DC89" t="s">
        <v>490</v>
      </c>
      <c r="DD89" t="s">
        <v>490</v>
      </c>
      <c r="DE89" t="s">
        <v>489</v>
      </c>
      <c r="DF89" t="s">
        <v>490</v>
      </c>
      <c r="DG89" t="s">
        <v>490</v>
      </c>
      <c r="DH89" t="s">
        <v>489</v>
      </c>
      <c r="DI89" t="s">
        <v>489</v>
      </c>
      <c r="DJ89" t="s">
        <v>489</v>
      </c>
      <c r="DK89" t="s">
        <v>490</v>
      </c>
      <c r="DL89" t="s">
        <v>489</v>
      </c>
      <c r="DM89" t="s">
        <v>489</v>
      </c>
      <c r="DN89" t="s">
        <v>490</v>
      </c>
      <c r="DO89" t="s">
        <v>490</v>
      </c>
      <c r="DP89" t="s">
        <v>490</v>
      </c>
      <c r="DQ89" t="s">
        <v>489</v>
      </c>
      <c r="DR89" t="s">
        <v>489</v>
      </c>
      <c r="DS89" t="s">
        <v>489</v>
      </c>
      <c r="DT89" t="s">
        <v>490</v>
      </c>
      <c r="DU89" t="s">
        <v>489</v>
      </c>
      <c r="DV89" t="s">
        <v>489</v>
      </c>
      <c r="DW89" t="s">
        <v>490</v>
      </c>
      <c r="DX89" t="s">
        <v>490</v>
      </c>
      <c r="DY89" t="s">
        <v>490</v>
      </c>
      <c r="DZ89" t="s">
        <v>489</v>
      </c>
      <c r="EA89" t="s">
        <v>490</v>
      </c>
      <c r="EB89" t="s">
        <v>489</v>
      </c>
      <c r="EC89" t="s">
        <v>490</v>
      </c>
      <c r="ED89" t="s">
        <v>490</v>
      </c>
      <c r="EE89" t="s">
        <v>490</v>
      </c>
      <c r="EF89" t="s">
        <v>489</v>
      </c>
      <c r="EG89" t="s">
        <v>490</v>
      </c>
      <c r="EH89" t="s">
        <v>490</v>
      </c>
      <c r="EI89" t="s">
        <v>489</v>
      </c>
      <c r="EJ89" t="s">
        <v>490</v>
      </c>
      <c r="EK89" t="s">
        <v>490</v>
      </c>
      <c r="EL89" t="s">
        <v>489</v>
      </c>
      <c r="EM89" t="s">
        <v>490</v>
      </c>
      <c r="EN89" t="s">
        <v>490</v>
      </c>
      <c r="EO89" t="s">
        <v>489</v>
      </c>
      <c r="EP89" t="s">
        <v>490</v>
      </c>
      <c r="EQ89" t="s">
        <v>490</v>
      </c>
      <c r="ER89" t="s">
        <v>489</v>
      </c>
      <c r="ES89" t="s">
        <v>490</v>
      </c>
      <c r="ET89" t="s">
        <v>490</v>
      </c>
      <c r="EU89" t="s">
        <v>489</v>
      </c>
      <c r="EV89" t="s">
        <v>490</v>
      </c>
      <c r="EW89" t="s">
        <v>490</v>
      </c>
      <c r="EX89" t="s">
        <v>489</v>
      </c>
      <c r="EY89">
        <v>95</v>
      </c>
      <c r="EZ89">
        <v>7</v>
      </c>
      <c r="FA89">
        <v>10</v>
      </c>
      <c r="FB89" t="s">
        <v>543</v>
      </c>
      <c r="OH89" s="15">
        <v>5</v>
      </c>
      <c r="OI89" s="15">
        <v>1</v>
      </c>
      <c r="OJ89" s="15">
        <v>4</v>
      </c>
      <c r="OK89" s="15">
        <v>1</v>
      </c>
      <c r="OL89" s="15">
        <v>8</v>
      </c>
      <c r="OM89" s="15">
        <v>10</v>
      </c>
      <c r="ON89" s="15">
        <v>1</v>
      </c>
      <c r="OO89" s="15">
        <v>1</v>
      </c>
      <c r="OQ89" t="s">
        <v>488</v>
      </c>
      <c r="OR89" t="s">
        <v>487</v>
      </c>
      <c r="OS89" t="s">
        <v>489</v>
      </c>
      <c r="OT89" t="s">
        <v>489</v>
      </c>
      <c r="OU89" t="s">
        <v>490</v>
      </c>
      <c r="OV89" t="s">
        <v>490</v>
      </c>
      <c r="OW89" t="s">
        <v>490</v>
      </c>
      <c r="OY89">
        <v>0</v>
      </c>
      <c r="OZ89">
        <v>5</v>
      </c>
      <c r="PA89">
        <v>0</v>
      </c>
      <c r="PB89">
        <v>0</v>
      </c>
      <c r="PC89">
        <v>5</v>
      </c>
      <c r="PD89">
        <v>0</v>
      </c>
      <c r="PE89">
        <v>0</v>
      </c>
      <c r="PF89">
        <v>0</v>
      </c>
      <c r="PG89">
        <v>0</v>
      </c>
      <c r="PH89">
        <v>0</v>
      </c>
      <c r="PI89">
        <v>0</v>
      </c>
      <c r="PJ89">
        <v>95</v>
      </c>
      <c r="PK89">
        <v>0</v>
      </c>
      <c r="PL89">
        <v>0</v>
      </c>
      <c r="PM89">
        <v>95</v>
      </c>
      <c r="PN89">
        <v>0</v>
      </c>
      <c r="PO89">
        <v>0</v>
      </c>
      <c r="PP89">
        <v>0</v>
      </c>
      <c r="PQ89">
        <v>0</v>
      </c>
      <c r="PR89">
        <v>0</v>
      </c>
      <c r="PT89" t="s">
        <v>488</v>
      </c>
      <c r="PU89" t="s">
        <v>497</v>
      </c>
      <c r="PV89">
        <v>340600</v>
      </c>
      <c r="PW89">
        <v>36000</v>
      </c>
      <c r="PX89">
        <v>376600</v>
      </c>
      <c r="PY89" t="s">
        <v>493</v>
      </c>
      <c r="PZ89" t="s">
        <v>493</v>
      </c>
      <c r="QA89">
        <v>10</v>
      </c>
      <c r="QB89">
        <v>90</v>
      </c>
      <c r="QC89">
        <v>80</v>
      </c>
      <c r="QD89">
        <v>20</v>
      </c>
      <c r="QE89" t="s">
        <v>508</v>
      </c>
      <c r="QZ89">
        <v>3.5</v>
      </c>
      <c r="RA89">
        <v>5</v>
      </c>
      <c r="RB89" t="s">
        <v>489</v>
      </c>
      <c r="RC89" t="s">
        <v>490</v>
      </c>
      <c r="RD89" t="s">
        <v>490</v>
      </c>
      <c r="RE89" t="s">
        <v>490</v>
      </c>
      <c r="RF89" t="s">
        <v>490</v>
      </c>
      <c r="RG89" t="s">
        <v>490</v>
      </c>
      <c r="RH89" t="s">
        <v>490</v>
      </c>
      <c r="RI89" t="s">
        <v>490</v>
      </c>
    </row>
    <row r="90" spans="1:486">
      <c r="A90">
        <v>11671</v>
      </c>
      <c r="B90" t="s">
        <v>506</v>
      </c>
      <c r="C90" t="s">
        <v>974</v>
      </c>
      <c r="D90" t="s">
        <v>507</v>
      </c>
      <c r="E90" t="s">
        <v>500</v>
      </c>
      <c r="F90" t="s">
        <v>505</v>
      </c>
      <c r="G90">
        <v>13</v>
      </c>
      <c r="H90" t="s">
        <v>487</v>
      </c>
      <c r="I90" t="s">
        <v>487</v>
      </c>
      <c r="J90" t="s">
        <v>488</v>
      </c>
      <c r="K90" t="s">
        <v>488</v>
      </c>
      <c r="L90" t="s">
        <v>489</v>
      </c>
      <c r="M90" t="s">
        <v>489</v>
      </c>
      <c r="N90" t="s">
        <v>489</v>
      </c>
      <c r="O90" t="s">
        <v>490</v>
      </c>
      <c r="P90" t="s">
        <v>490</v>
      </c>
      <c r="Q90" t="s">
        <v>490</v>
      </c>
      <c r="R90" t="s">
        <v>490</v>
      </c>
      <c r="S90" t="s">
        <v>490</v>
      </c>
      <c r="T90" t="s">
        <v>490</v>
      </c>
      <c r="U90" t="s">
        <v>490</v>
      </c>
      <c r="V90" t="s">
        <v>489</v>
      </c>
      <c r="W90" t="s">
        <v>489</v>
      </c>
      <c r="X90" t="s">
        <v>490</v>
      </c>
      <c r="Y90" t="s">
        <v>490</v>
      </c>
      <c r="Z90" t="s">
        <v>490</v>
      </c>
      <c r="AA90" t="s">
        <v>490</v>
      </c>
      <c r="AB90" t="s">
        <v>489</v>
      </c>
      <c r="AC90" t="s">
        <v>489</v>
      </c>
      <c r="AD90" t="s">
        <v>490</v>
      </c>
      <c r="AE90" t="s">
        <v>490</v>
      </c>
      <c r="AF90" t="s">
        <v>490</v>
      </c>
      <c r="AG90" t="s">
        <v>490</v>
      </c>
      <c r="AH90" t="s">
        <v>489</v>
      </c>
      <c r="AI90" t="s">
        <v>489</v>
      </c>
      <c r="AJ90" t="s">
        <v>490</v>
      </c>
      <c r="AK90" t="s">
        <v>490</v>
      </c>
      <c r="AL90" t="s">
        <v>490</v>
      </c>
      <c r="AM90" t="s">
        <v>490</v>
      </c>
      <c r="AN90" t="s">
        <v>489</v>
      </c>
      <c r="AO90" t="s">
        <v>490</v>
      </c>
      <c r="AP90" t="s">
        <v>490</v>
      </c>
      <c r="AQ90" t="s">
        <v>489</v>
      </c>
      <c r="AR90" t="s">
        <v>489</v>
      </c>
      <c r="AS90" t="s">
        <v>490</v>
      </c>
      <c r="AT90" t="s">
        <v>490</v>
      </c>
      <c r="AU90" t="s">
        <v>489</v>
      </c>
      <c r="AV90" t="s">
        <v>490</v>
      </c>
      <c r="AW90" t="s">
        <v>490</v>
      </c>
      <c r="AX90" t="s">
        <v>489</v>
      </c>
      <c r="AY90" t="s">
        <v>489</v>
      </c>
      <c r="AZ90" t="s">
        <v>490</v>
      </c>
      <c r="BA90" t="s">
        <v>489</v>
      </c>
      <c r="BB90" t="s">
        <v>489</v>
      </c>
      <c r="BC90" t="s">
        <v>490</v>
      </c>
      <c r="BD90" t="s">
        <v>489</v>
      </c>
      <c r="BE90" t="s">
        <v>489</v>
      </c>
      <c r="BF90" t="s">
        <v>490</v>
      </c>
      <c r="BG90" t="s">
        <v>490</v>
      </c>
      <c r="BH90" t="s">
        <v>490</v>
      </c>
      <c r="BI90" t="s">
        <v>489</v>
      </c>
      <c r="BJ90" t="s">
        <v>489</v>
      </c>
      <c r="BK90" t="s">
        <v>489</v>
      </c>
      <c r="BL90" t="s">
        <v>490</v>
      </c>
      <c r="BM90" t="s">
        <v>489</v>
      </c>
      <c r="BN90" t="s">
        <v>489</v>
      </c>
      <c r="BO90" t="s">
        <v>490</v>
      </c>
      <c r="BP90" t="s">
        <v>489</v>
      </c>
      <c r="BQ90" t="s">
        <v>490</v>
      </c>
      <c r="BR90" t="s">
        <v>490</v>
      </c>
      <c r="BS90" t="s">
        <v>490</v>
      </c>
      <c r="BT90" t="s">
        <v>490</v>
      </c>
      <c r="BU90" t="s">
        <v>489</v>
      </c>
      <c r="BV90" t="s">
        <v>489</v>
      </c>
      <c r="BW90" t="s">
        <v>490</v>
      </c>
      <c r="BX90" t="s">
        <v>490</v>
      </c>
      <c r="BY90" t="s">
        <v>489</v>
      </c>
      <c r="BZ90" t="s">
        <v>490</v>
      </c>
      <c r="CA90" t="s">
        <v>490</v>
      </c>
      <c r="EY90">
        <v>80</v>
      </c>
      <c r="EZ90">
        <v>5</v>
      </c>
      <c r="FA90">
        <v>5</v>
      </c>
      <c r="FB90" t="s">
        <v>543</v>
      </c>
      <c r="OH90" s="15">
        <v>7</v>
      </c>
      <c r="OI90" s="15">
        <v>2</v>
      </c>
      <c r="OJ90" s="15">
        <v>7</v>
      </c>
      <c r="OK90" s="15">
        <v>6</v>
      </c>
      <c r="OL90" s="15">
        <v>6</v>
      </c>
      <c r="OM90" s="15">
        <v>7</v>
      </c>
      <c r="ON90" s="15">
        <v>1</v>
      </c>
      <c r="OO90" s="15">
        <v>1</v>
      </c>
      <c r="OQ90" t="s">
        <v>488</v>
      </c>
      <c r="OR90" t="s">
        <v>487</v>
      </c>
      <c r="OS90" t="s">
        <v>489</v>
      </c>
      <c r="OT90" t="s">
        <v>490</v>
      </c>
      <c r="OU90" t="s">
        <v>490</v>
      </c>
      <c r="OV90" t="s">
        <v>490</v>
      </c>
      <c r="OW90" t="s">
        <v>490</v>
      </c>
      <c r="PT90" t="s">
        <v>488</v>
      </c>
      <c r="PU90" t="s">
        <v>497</v>
      </c>
      <c r="PV90">
        <v>64000</v>
      </c>
      <c r="PW90">
        <v>0</v>
      </c>
      <c r="PX90">
        <v>64000</v>
      </c>
      <c r="PY90" t="s">
        <v>493</v>
      </c>
      <c r="PZ90" t="s">
        <v>493</v>
      </c>
      <c r="QA90">
        <v>25</v>
      </c>
      <c r="QB90">
        <v>75</v>
      </c>
      <c r="QC90">
        <v>0</v>
      </c>
      <c r="QD90">
        <v>100</v>
      </c>
      <c r="QE90" t="s">
        <v>508</v>
      </c>
      <c r="QZ90">
        <v>3</v>
      </c>
      <c r="RA90">
        <v>3</v>
      </c>
      <c r="RB90" t="s">
        <v>489</v>
      </c>
      <c r="RC90" t="s">
        <v>490</v>
      </c>
      <c r="RD90" t="s">
        <v>489</v>
      </c>
      <c r="RE90" t="s">
        <v>490</v>
      </c>
      <c r="RF90" t="s">
        <v>490</v>
      </c>
      <c r="RG90" t="s">
        <v>490</v>
      </c>
      <c r="RH90" t="s">
        <v>490</v>
      </c>
      <c r="RI90" t="s">
        <v>490</v>
      </c>
    </row>
    <row r="91" spans="1:486">
      <c r="A91">
        <v>11782</v>
      </c>
      <c r="B91" t="s">
        <v>506</v>
      </c>
      <c r="C91" t="s">
        <v>974</v>
      </c>
      <c r="D91" t="s">
        <v>507</v>
      </c>
      <c r="E91" t="s">
        <v>500</v>
      </c>
      <c r="F91" t="s">
        <v>496</v>
      </c>
      <c r="G91">
        <v>45</v>
      </c>
      <c r="H91" t="s">
        <v>487</v>
      </c>
      <c r="I91" t="s">
        <v>487</v>
      </c>
      <c r="J91" t="s">
        <v>487</v>
      </c>
      <c r="K91" t="s">
        <v>487</v>
      </c>
      <c r="L91" t="s">
        <v>489</v>
      </c>
      <c r="M91" t="s">
        <v>489</v>
      </c>
      <c r="N91" t="s">
        <v>489</v>
      </c>
      <c r="O91" t="s">
        <v>490</v>
      </c>
      <c r="P91" t="s">
        <v>490</v>
      </c>
      <c r="Q91" t="s">
        <v>490</v>
      </c>
      <c r="R91" t="s">
        <v>489</v>
      </c>
      <c r="S91" t="s">
        <v>489</v>
      </c>
      <c r="T91" t="s">
        <v>489</v>
      </c>
      <c r="U91" t="s">
        <v>490</v>
      </c>
      <c r="V91" t="s">
        <v>490</v>
      </c>
      <c r="W91" t="s">
        <v>489</v>
      </c>
      <c r="X91" t="s">
        <v>490</v>
      </c>
      <c r="Y91" t="s">
        <v>490</v>
      </c>
      <c r="Z91" t="s">
        <v>490</v>
      </c>
      <c r="AA91" t="s">
        <v>489</v>
      </c>
      <c r="AB91" t="s">
        <v>490</v>
      </c>
      <c r="AC91" t="s">
        <v>489</v>
      </c>
      <c r="AD91" t="s">
        <v>489</v>
      </c>
      <c r="AE91" t="s">
        <v>490</v>
      </c>
      <c r="AF91" t="s">
        <v>489</v>
      </c>
      <c r="AG91" t="s">
        <v>490</v>
      </c>
      <c r="AH91" t="s">
        <v>490</v>
      </c>
      <c r="AI91" t="s">
        <v>489</v>
      </c>
      <c r="AJ91" t="s">
        <v>490</v>
      </c>
      <c r="AK91" t="s">
        <v>490</v>
      </c>
      <c r="AL91" t="s">
        <v>489</v>
      </c>
      <c r="AM91" t="s">
        <v>489</v>
      </c>
      <c r="AN91" t="s">
        <v>490</v>
      </c>
      <c r="AO91" t="s">
        <v>489</v>
      </c>
      <c r="AP91" t="s">
        <v>489</v>
      </c>
      <c r="AQ91" t="s">
        <v>490</v>
      </c>
      <c r="AR91" t="s">
        <v>489</v>
      </c>
      <c r="AS91" t="s">
        <v>489</v>
      </c>
      <c r="AT91" t="s">
        <v>490</v>
      </c>
      <c r="AU91" t="s">
        <v>489</v>
      </c>
      <c r="AV91" t="s">
        <v>489</v>
      </c>
      <c r="AW91" t="s">
        <v>490</v>
      </c>
      <c r="AX91" t="s">
        <v>489</v>
      </c>
      <c r="AY91" t="s">
        <v>490</v>
      </c>
      <c r="AZ91" t="s">
        <v>490</v>
      </c>
      <c r="BA91" t="s">
        <v>489</v>
      </c>
      <c r="BB91" t="s">
        <v>490</v>
      </c>
      <c r="BC91" t="s">
        <v>490</v>
      </c>
      <c r="BD91" t="s">
        <v>489</v>
      </c>
      <c r="BE91" t="s">
        <v>489</v>
      </c>
      <c r="BF91" t="s">
        <v>490</v>
      </c>
      <c r="BG91" t="s">
        <v>490</v>
      </c>
      <c r="BH91" t="s">
        <v>490</v>
      </c>
      <c r="BI91" t="s">
        <v>489</v>
      </c>
      <c r="BJ91" t="s">
        <v>489</v>
      </c>
      <c r="BK91" t="s">
        <v>489</v>
      </c>
      <c r="BL91" t="s">
        <v>490</v>
      </c>
      <c r="BM91" t="s">
        <v>489</v>
      </c>
      <c r="BN91" t="s">
        <v>489</v>
      </c>
      <c r="BO91" t="s">
        <v>490</v>
      </c>
      <c r="BP91" t="s">
        <v>489</v>
      </c>
      <c r="BQ91" t="s">
        <v>489</v>
      </c>
      <c r="BR91" t="s">
        <v>490</v>
      </c>
      <c r="BS91" t="s">
        <v>490</v>
      </c>
      <c r="BT91" t="s">
        <v>490</v>
      </c>
      <c r="BU91" t="s">
        <v>489</v>
      </c>
      <c r="BV91" t="s">
        <v>489</v>
      </c>
      <c r="BW91" t="s">
        <v>489</v>
      </c>
      <c r="BX91" t="s">
        <v>490</v>
      </c>
      <c r="BY91" t="s">
        <v>489</v>
      </c>
      <c r="BZ91" t="s">
        <v>489</v>
      </c>
      <c r="CA91" t="s">
        <v>490</v>
      </c>
      <c r="DI91" t="s">
        <v>489</v>
      </c>
      <c r="DJ91" t="s">
        <v>490</v>
      </c>
      <c r="DK91" t="s">
        <v>490</v>
      </c>
      <c r="DL91" t="s">
        <v>489</v>
      </c>
      <c r="DM91" t="s">
        <v>490</v>
      </c>
      <c r="DN91" t="s">
        <v>490</v>
      </c>
      <c r="DO91" t="s">
        <v>490</v>
      </c>
      <c r="DP91" t="s">
        <v>489</v>
      </c>
      <c r="DQ91" t="s">
        <v>490</v>
      </c>
      <c r="DR91" t="s">
        <v>489</v>
      </c>
      <c r="DS91" t="s">
        <v>489</v>
      </c>
      <c r="DT91" t="s">
        <v>490</v>
      </c>
      <c r="DU91" t="s">
        <v>489</v>
      </c>
      <c r="DV91" t="s">
        <v>489</v>
      </c>
      <c r="DW91" t="s">
        <v>490</v>
      </c>
      <c r="DX91" t="s">
        <v>490</v>
      </c>
      <c r="DY91" t="s">
        <v>490</v>
      </c>
      <c r="DZ91" t="s">
        <v>489</v>
      </c>
      <c r="EA91" t="s">
        <v>490</v>
      </c>
      <c r="EB91" t="s">
        <v>489</v>
      </c>
      <c r="EC91" t="s">
        <v>490</v>
      </c>
      <c r="ED91" t="s">
        <v>490</v>
      </c>
      <c r="EE91" t="s">
        <v>490</v>
      </c>
      <c r="EF91" t="s">
        <v>489</v>
      </c>
      <c r="EG91" t="s">
        <v>490</v>
      </c>
      <c r="EH91" t="s">
        <v>490</v>
      </c>
      <c r="EI91" t="s">
        <v>489</v>
      </c>
      <c r="EJ91" t="s">
        <v>490</v>
      </c>
      <c r="EK91" t="s">
        <v>490</v>
      </c>
      <c r="EL91" t="s">
        <v>489</v>
      </c>
      <c r="EM91" t="s">
        <v>490</v>
      </c>
      <c r="EN91" t="s">
        <v>490</v>
      </c>
      <c r="EO91" t="s">
        <v>489</v>
      </c>
      <c r="EP91" t="s">
        <v>490</v>
      </c>
      <c r="EQ91" t="s">
        <v>490</v>
      </c>
      <c r="ER91" t="s">
        <v>489</v>
      </c>
      <c r="ES91" t="s">
        <v>490</v>
      </c>
      <c r="ET91" t="s">
        <v>490</v>
      </c>
      <c r="EU91" t="s">
        <v>489</v>
      </c>
      <c r="EV91" t="s">
        <v>490</v>
      </c>
      <c r="EW91" t="s">
        <v>490</v>
      </c>
      <c r="EX91" t="s">
        <v>489</v>
      </c>
      <c r="EY91">
        <v>3</v>
      </c>
      <c r="EZ91">
        <v>3</v>
      </c>
      <c r="FA91">
        <v>10</v>
      </c>
      <c r="FB91" t="s">
        <v>543</v>
      </c>
      <c r="OH91" s="15">
        <v>8</v>
      </c>
      <c r="OI91" s="15">
        <v>8</v>
      </c>
      <c r="OJ91" s="15">
        <v>8</v>
      </c>
      <c r="OK91" s="15">
        <v>2</v>
      </c>
      <c r="OL91" s="15">
        <v>9</v>
      </c>
      <c r="OM91" s="15">
        <v>10</v>
      </c>
      <c r="ON91" s="15">
        <v>7</v>
      </c>
      <c r="OO91" s="15">
        <v>6</v>
      </c>
      <c r="OQ91" t="s">
        <v>488</v>
      </c>
      <c r="OR91" t="s">
        <v>487</v>
      </c>
      <c r="OS91" t="s">
        <v>489</v>
      </c>
      <c r="OT91" t="s">
        <v>489</v>
      </c>
      <c r="OU91" t="s">
        <v>490</v>
      </c>
      <c r="OV91" t="s">
        <v>490</v>
      </c>
      <c r="OW91" t="s">
        <v>490</v>
      </c>
      <c r="OY91">
        <v>85</v>
      </c>
      <c r="OZ91">
        <v>3</v>
      </c>
      <c r="PA91">
        <v>3</v>
      </c>
      <c r="PB91">
        <v>0</v>
      </c>
      <c r="PC91">
        <v>0</v>
      </c>
      <c r="PD91">
        <v>0</v>
      </c>
      <c r="PE91">
        <v>2</v>
      </c>
      <c r="PF91">
        <v>0</v>
      </c>
      <c r="PG91">
        <v>0</v>
      </c>
      <c r="PH91">
        <v>0</v>
      </c>
      <c r="PI91">
        <v>85</v>
      </c>
      <c r="PJ91">
        <v>10</v>
      </c>
      <c r="PK91">
        <v>10</v>
      </c>
      <c r="PL91">
        <v>0</v>
      </c>
      <c r="PM91">
        <v>0</v>
      </c>
      <c r="PN91">
        <v>0</v>
      </c>
      <c r="PO91">
        <v>8</v>
      </c>
      <c r="PP91">
        <v>0</v>
      </c>
      <c r="PQ91">
        <v>0</v>
      </c>
      <c r="PR91">
        <v>0</v>
      </c>
      <c r="PT91" t="s">
        <v>488</v>
      </c>
      <c r="PU91" t="s">
        <v>497</v>
      </c>
    </row>
    <row r="92" spans="1:486">
      <c r="A92">
        <v>11742</v>
      </c>
      <c r="B92" t="s">
        <v>506</v>
      </c>
      <c r="C92" t="s">
        <v>974</v>
      </c>
      <c r="D92" t="s">
        <v>507</v>
      </c>
      <c r="E92" t="s">
        <v>500</v>
      </c>
      <c r="F92" t="s">
        <v>505</v>
      </c>
      <c r="G92">
        <v>6.1</v>
      </c>
      <c r="H92" t="s">
        <v>487</v>
      </c>
      <c r="I92" t="s">
        <v>487</v>
      </c>
      <c r="J92" t="s">
        <v>487</v>
      </c>
      <c r="K92" t="s">
        <v>487</v>
      </c>
      <c r="L92" t="s">
        <v>489</v>
      </c>
      <c r="M92" t="s">
        <v>489</v>
      </c>
      <c r="N92" t="s">
        <v>489</v>
      </c>
      <c r="O92" t="s">
        <v>490</v>
      </c>
      <c r="P92" t="s">
        <v>490</v>
      </c>
      <c r="Q92" t="s">
        <v>490</v>
      </c>
      <c r="R92" t="s">
        <v>489</v>
      </c>
      <c r="S92" t="s">
        <v>489</v>
      </c>
      <c r="T92" t="s">
        <v>489</v>
      </c>
      <c r="U92" t="s">
        <v>490</v>
      </c>
      <c r="V92" t="s">
        <v>490</v>
      </c>
      <c r="W92" t="s">
        <v>489</v>
      </c>
      <c r="X92" t="s">
        <v>490</v>
      </c>
      <c r="Y92" t="s">
        <v>490</v>
      </c>
      <c r="Z92" t="s">
        <v>490</v>
      </c>
      <c r="AA92" t="s">
        <v>490</v>
      </c>
      <c r="AB92" t="s">
        <v>489</v>
      </c>
      <c r="AC92" t="s">
        <v>489</v>
      </c>
      <c r="AD92" t="s">
        <v>489</v>
      </c>
      <c r="AE92" t="s">
        <v>490</v>
      </c>
      <c r="AF92" t="s">
        <v>489</v>
      </c>
      <c r="AG92" t="s">
        <v>490</v>
      </c>
      <c r="AH92" t="s">
        <v>490</v>
      </c>
      <c r="AI92" t="s">
        <v>489</v>
      </c>
      <c r="AJ92" t="s">
        <v>490</v>
      </c>
      <c r="AK92" t="s">
        <v>490</v>
      </c>
      <c r="AL92" t="s">
        <v>490</v>
      </c>
      <c r="AM92" t="s">
        <v>490</v>
      </c>
      <c r="AN92" t="s">
        <v>489</v>
      </c>
      <c r="AO92" t="s">
        <v>490</v>
      </c>
      <c r="AP92" t="s">
        <v>490</v>
      </c>
      <c r="AQ92" t="s">
        <v>489</v>
      </c>
      <c r="AR92" t="s">
        <v>489</v>
      </c>
      <c r="AS92" t="s">
        <v>490</v>
      </c>
      <c r="AT92" t="s">
        <v>490</v>
      </c>
      <c r="AU92" t="s">
        <v>489</v>
      </c>
      <c r="AV92" t="s">
        <v>489</v>
      </c>
      <c r="AW92" t="s">
        <v>490</v>
      </c>
      <c r="AX92" t="s">
        <v>489</v>
      </c>
      <c r="AY92" t="s">
        <v>489</v>
      </c>
      <c r="AZ92" t="s">
        <v>490</v>
      </c>
      <c r="BA92" t="s">
        <v>489</v>
      </c>
      <c r="BB92" t="s">
        <v>489</v>
      </c>
      <c r="BC92" t="s">
        <v>490</v>
      </c>
      <c r="BD92" t="s">
        <v>489</v>
      </c>
      <c r="BE92" t="s">
        <v>489</v>
      </c>
      <c r="BF92" t="s">
        <v>490</v>
      </c>
      <c r="BG92" t="s">
        <v>490</v>
      </c>
      <c r="BH92" t="s">
        <v>490</v>
      </c>
      <c r="BI92" t="s">
        <v>489</v>
      </c>
      <c r="BJ92" t="s">
        <v>489</v>
      </c>
      <c r="BK92" t="s">
        <v>489</v>
      </c>
      <c r="BL92" t="s">
        <v>490</v>
      </c>
      <c r="BM92" t="s">
        <v>489</v>
      </c>
      <c r="BN92" t="s">
        <v>489</v>
      </c>
      <c r="BO92" t="s">
        <v>490</v>
      </c>
      <c r="BP92" t="s">
        <v>490</v>
      </c>
      <c r="BQ92" t="s">
        <v>490</v>
      </c>
      <c r="BR92" t="s">
        <v>489</v>
      </c>
      <c r="BS92" t="s">
        <v>490</v>
      </c>
      <c r="BT92" t="s">
        <v>490</v>
      </c>
      <c r="BU92" t="s">
        <v>489</v>
      </c>
      <c r="BV92" t="s">
        <v>489</v>
      </c>
      <c r="BW92" t="s">
        <v>489</v>
      </c>
      <c r="BX92" t="s">
        <v>490</v>
      </c>
      <c r="BY92" t="s">
        <v>489</v>
      </c>
      <c r="BZ92" t="s">
        <v>489</v>
      </c>
      <c r="CA92" t="s">
        <v>490</v>
      </c>
      <c r="DI92" t="s">
        <v>489</v>
      </c>
      <c r="DJ92" t="s">
        <v>490</v>
      </c>
      <c r="DK92" t="s">
        <v>490</v>
      </c>
      <c r="DL92" t="s">
        <v>489</v>
      </c>
      <c r="DM92" t="s">
        <v>490</v>
      </c>
      <c r="DN92" t="s">
        <v>490</v>
      </c>
      <c r="DO92" t="s">
        <v>490</v>
      </c>
      <c r="DP92" t="s">
        <v>490</v>
      </c>
      <c r="DQ92" t="s">
        <v>489</v>
      </c>
      <c r="DR92" t="s">
        <v>489</v>
      </c>
      <c r="DS92" t="s">
        <v>489</v>
      </c>
      <c r="DT92" t="s">
        <v>490</v>
      </c>
      <c r="DU92" t="s">
        <v>489</v>
      </c>
      <c r="DV92" t="s">
        <v>489</v>
      </c>
      <c r="DW92" t="s">
        <v>490</v>
      </c>
      <c r="DX92" t="s">
        <v>489</v>
      </c>
      <c r="DY92" t="s">
        <v>490</v>
      </c>
      <c r="DZ92" t="s">
        <v>490</v>
      </c>
      <c r="EA92" t="s">
        <v>490</v>
      </c>
      <c r="EB92" t="s">
        <v>489</v>
      </c>
      <c r="EC92" t="s">
        <v>490</v>
      </c>
      <c r="ED92" t="s">
        <v>490</v>
      </c>
      <c r="EE92" t="s">
        <v>490</v>
      </c>
      <c r="EF92" t="s">
        <v>489</v>
      </c>
      <c r="EG92" t="s">
        <v>490</v>
      </c>
      <c r="EH92" t="s">
        <v>490</v>
      </c>
      <c r="EI92" t="s">
        <v>489</v>
      </c>
      <c r="EJ92" t="s">
        <v>490</v>
      </c>
      <c r="EK92" t="s">
        <v>489</v>
      </c>
      <c r="EL92" t="s">
        <v>490</v>
      </c>
      <c r="EM92" t="s">
        <v>490</v>
      </c>
      <c r="EN92" t="s">
        <v>490</v>
      </c>
      <c r="EO92" t="s">
        <v>489</v>
      </c>
      <c r="EP92" t="s">
        <v>490</v>
      </c>
      <c r="EQ92" t="s">
        <v>490</v>
      </c>
      <c r="ER92" t="s">
        <v>489</v>
      </c>
      <c r="ES92" t="s">
        <v>490</v>
      </c>
      <c r="ET92" t="s">
        <v>490</v>
      </c>
      <c r="EU92" t="s">
        <v>489</v>
      </c>
      <c r="EV92" t="s">
        <v>490</v>
      </c>
      <c r="EW92" t="s">
        <v>490</v>
      </c>
      <c r="EX92" t="s">
        <v>489</v>
      </c>
      <c r="EY92">
        <v>90</v>
      </c>
      <c r="EZ92">
        <v>8</v>
      </c>
      <c r="FA92">
        <v>2</v>
      </c>
      <c r="FB92" t="s">
        <v>543</v>
      </c>
      <c r="OH92" s="15">
        <v>8</v>
      </c>
      <c r="OI92" s="15">
        <v>3</v>
      </c>
      <c r="OJ92" s="15">
        <v>5</v>
      </c>
      <c r="OK92" s="15">
        <v>3</v>
      </c>
      <c r="OL92" s="15">
        <v>5</v>
      </c>
      <c r="OM92" s="15">
        <v>8</v>
      </c>
      <c r="ON92" s="15">
        <v>1</v>
      </c>
      <c r="OO92" s="15">
        <v>1</v>
      </c>
      <c r="OQ92" t="s">
        <v>487</v>
      </c>
      <c r="OR92" t="s">
        <v>487</v>
      </c>
      <c r="OS92" t="s">
        <v>489</v>
      </c>
      <c r="OT92" t="s">
        <v>490</v>
      </c>
      <c r="OU92" t="s">
        <v>490</v>
      </c>
      <c r="OV92" t="s">
        <v>489</v>
      </c>
      <c r="OW92" t="s">
        <v>490</v>
      </c>
      <c r="OY92">
        <v>8</v>
      </c>
      <c r="OZ92">
        <v>4</v>
      </c>
      <c r="PA92">
        <v>0</v>
      </c>
      <c r="PB92">
        <v>0</v>
      </c>
      <c r="PC92">
        <v>0</v>
      </c>
      <c r="PD92">
        <v>0</v>
      </c>
      <c r="PE92">
        <v>0</v>
      </c>
      <c r="PF92">
        <v>0</v>
      </c>
      <c r="PG92">
        <v>0</v>
      </c>
      <c r="PH92">
        <v>0</v>
      </c>
      <c r="PI92">
        <v>10</v>
      </c>
      <c r="PJ92">
        <v>5</v>
      </c>
      <c r="PK92">
        <v>1</v>
      </c>
      <c r="PL92">
        <v>1</v>
      </c>
      <c r="PM92">
        <v>0</v>
      </c>
      <c r="PN92">
        <v>0</v>
      </c>
      <c r="PO92">
        <v>0</v>
      </c>
      <c r="PP92">
        <v>0</v>
      </c>
      <c r="PQ92">
        <v>1</v>
      </c>
      <c r="PR92">
        <v>0</v>
      </c>
      <c r="PT92" t="s">
        <v>487</v>
      </c>
      <c r="PU92" t="s">
        <v>512</v>
      </c>
      <c r="PV92">
        <v>64000</v>
      </c>
      <c r="PW92">
        <v>8000</v>
      </c>
      <c r="PX92">
        <v>72000</v>
      </c>
      <c r="PY92" t="s">
        <v>493</v>
      </c>
      <c r="PZ92" t="s">
        <v>493</v>
      </c>
      <c r="QA92">
        <v>75</v>
      </c>
      <c r="QB92">
        <v>25</v>
      </c>
      <c r="QC92">
        <v>90</v>
      </c>
      <c r="QD92">
        <v>10</v>
      </c>
      <c r="QE92" t="s">
        <v>508</v>
      </c>
      <c r="QZ92">
        <v>1.75</v>
      </c>
      <c r="RA92">
        <v>30</v>
      </c>
      <c r="RB92" t="s">
        <v>489</v>
      </c>
      <c r="RC92" t="s">
        <v>490</v>
      </c>
      <c r="RD92" t="s">
        <v>490</v>
      </c>
      <c r="RE92" t="s">
        <v>490</v>
      </c>
      <c r="RF92" t="s">
        <v>490</v>
      </c>
      <c r="RG92" t="s">
        <v>490</v>
      </c>
      <c r="RH92" t="s">
        <v>490</v>
      </c>
      <c r="RI92" t="s">
        <v>489</v>
      </c>
      <c r="RP92" t="s">
        <v>554</v>
      </c>
      <c r="RR92" t="s">
        <v>555</v>
      </c>
    </row>
    <row r="93" spans="1:486">
      <c r="A93">
        <v>11659</v>
      </c>
      <c r="B93" t="s">
        <v>506</v>
      </c>
      <c r="C93" t="s">
        <v>974</v>
      </c>
      <c r="D93" t="s">
        <v>507</v>
      </c>
      <c r="E93" t="s">
        <v>500</v>
      </c>
      <c r="F93" t="s">
        <v>517</v>
      </c>
      <c r="G93">
        <v>1.5</v>
      </c>
      <c r="H93" t="s">
        <v>487</v>
      </c>
      <c r="I93" t="s">
        <v>487</v>
      </c>
      <c r="J93" t="s">
        <v>487</v>
      </c>
      <c r="K93" t="s">
        <v>487</v>
      </c>
      <c r="L93" t="s">
        <v>489</v>
      </c>
      <c r="M93" t="s">
        <v>489</v>
      </c>
      <c r="N93" t="s">
        <v>489</v>
      </c>
      <c r="O93" t="s">
        <v>490</v>
      </c>
      <c r="P93" t="s">
        <v>490</v>
      </c>
      <c r="Q93" t="s">
        <v>490</v>
      </c>
      <c r="R93" t="s">
        <v>490</v>
      </c>
      <c r="S93" t="s">
        <v>489</v>
      </c>
      <c r="T93" t="s">
        <v>489</v>
      </c>
      <c r="U93" t="s">
        <v>490</v>
      </c>
      <c r="V93" t="s">
        <v>490</v>
      </c>
      <c r="W93" t="s">
        <v>489</v>
      </c>
      <c r="X93" t="s">
        <v>490</v>
      </c>
      <c r="Y93" t="s">
        <v>490</v>
      </c>
      <c r="Z93" t="s">
        <v>490</v>
      </c>
      <c r="AA93" t="s">
        <v>490</v>
      </c>
      <c r="AB93" t="s">
        <v>489</v>
      </c>
      <c r="AC93" t="s">
        <v>489</v>
      </c>
      <c r="AD93" t="s">
        <v>489</v>
      </c>
      <c r="AE93" t="s">
        <v>490</v>
      </c>
      <c r="AF93" t="s">
        <v>490</v>
      </c>
      <c r="AG93" t="s">
        <v>490</v>
      </c>
      <c r="AH93" t="s">
        <v>489</v>
      </c>
      <c r="AI93" t="s">
        <v>490</v>
      </c>
      <c r="AJ93" t="s">
        <v>490</v>
      </c>
      <c r="AK93" t="s">
        <v>489</v>
      </c>
      <c r="AL93" t="s">
        <v>490</v>
      </c>
      <c r="AM93" t="s">
        <v>490</v>
      </c>
      <c r="AN93" t="s">
        <v>489</v>
      </c>
      <c r="AO93" t="s">
        <v>490</v>
      </c>
      <c r="AP93" t="s">
        <v>490</v>
      </c>
      <c r="AQ93" t="s">
        <v>489</v>
      </c>
      <c r="AR93" t="s">
        <v>489</v>
      </c>
      <c r="AS93" t="s">
        <v>490</v>
      </c>
      <c r="AT93" t="s">
        <v>490</v>
      </c>
      <c r="AU93" t="s">
        <v>489</v>
      </c>
      <c r="AV93" t="s">
        <v>489</v>
      </c>
      <c r="AW93" t="s">
        <v>490</v>
      </c>
      <c r="AX93" t="s">
        <v>489</v>
      </c>
      <c r="AY93" t="s">
        <v>489</v>
      </c>
      <c r="AZ93" t="s">
        <v>490</v>
      </c>
      <c r="BA93" t="s">
        <v>489</v>
      </c>
      <c r="BB93" t="s">
        <v>490</v>
      </c>
      <c r="BC93" t="s">
        <v>490</v>
      </c>
      <c r="BD93" t="s">
        <v>489</v>
      </c>
      <c r="BE93" t="s">
        <v>489</v>
      </c>
      <c r="BF93" t="s">
        <v>490</v>
      </c>
      <c r="BG93" t="s">
        <v>490</v>
      </c>
      <c r="BH93" t="s">
        <v>490</v>
      </c>
      <c r="BI93" t="s">
        <v>489</v>
      </c>
      <c r="BJ93" t="s">
        <v>489</v>
      </c>
      <c r="BK93" t="s">
        <v>489</v>
      </c>
      <c r="BL93" t="s">
        <v>490</v>
      </c>
      <c r="BM93" t="s">
        <v>489</v>
      </c>
      <c r="BN93" t="s">
        <v>490</v>
      </c>
      <c r="BO93" t="s">
        <v>490</v>
      </c>
      <c r="BP93" t="s">
        <v>490</v>
      </c>
      <c r="BQ93" t="s">
        <v>490</v>
      </c>
      <c r="BR93" t="s">
        <v>489</v>
      </c>
      <c r="BS93" t="s">
        <v>490</v>
      </c>
      <c r="BT93" t="s">
        <v>490</v>
      </c>
      <c r="BU93" t="s">
        <v>489</v>
      </c>
      <c r="BV93" t="s">
        <v>489</v>
      </c>
      <c r="BW93" t="s">
        <v>489</v>
      </c>
      <c r="BX93" t="s">
        <v>490</v>
      </c>
      <c r="BY93" t="s">
        <v>489</v>
      </c>
      <c r="BZ93" t="s">
        <v>489</v>
      </c>
      <c r="CA93" t="s">
        <v>490</v>
      </c>
      <c r="EA93" t="s">
        <v>490</v>
      </c>
      <c r="EB93" t="s">
        <v>489</v>
      </c>
      <c r="EC93" t="s">
        <v>490</v>
      </c>
      <c r="ED93" t="s">
        <v>490</v>
      </c>
      <c r="EE93" t="s">
        <v>490</v>
      </c>
      <c r="EF93" t="s">
        <v>489</v>
      </c>
      <c r="EG93" t="s">
        <v>490</v>
      </c>
      <c r="EH93" t="s">
        <v>490</v>
      </c>
      <c r="EI93" t="s">
        <v>489</v>
      </c>
      <c r="EJ93" t="s">
        <v>490</v>
      </c>
      <c r="EK93" t="s">
        <v>490</v>
      </c>
      <c r="EL93" t="s">
        <v>489</v>
      </c>
      <c r="EM93" t="s">
        <v>490</v>
      </c>
      <c r="EN93" t="s">
        <v>490</v>
      </c>
      <c r="EO93" t="s">
        <v>489</v>
      </c>
      <c r="EP93" t="s">
        <v>490</v>
      </c>
      <c r="EQ93" t="s">
        <v>489</v>
      </c>
      <c r="ER93" t="s">
        <v>490</v>
      </c>
      <c r="ES93" t="s">
        <v>490</v>
      </c>
      <c r="ET93" t="s">
        <v>489</v>
      </c>
      <c r="EU93" t="s">
        <v>490</v>
      </c>
      <c r="EV93" t="s">
        <v>490</v>
      </c>
      <c r="EW93" t="s">
        <v>490</v>
      </c>
      <c r="EX93" t="s">
        <v>489</v>
      </c>
      <c r="EY93">
        <v>75</v>
      </c>
      <c r="EZ93">
        <v>5</v>
      </c>
      <c r="FA93">
        <v>10</v>
      </c>
      <c r="FB93" t="s">
        <v>543</v>
      </c>
      <c r="OH93" s="15">
        <v>8</v>
      </c>
      <c r="OI93" s="15">
        <v>5</v>
      </c>
      <c r="OJ93" s="15">
        <v>8</v>
      </c>
      <c r="OK93" s="15">
        <v>5</v>
      </c>
      <c r="OL93" s="15">
        <v>8</v>
      </c>
      <c r="OM93" s="15">
        <v>8</v>
      </c>
      <c r="ON93" s="15">
        <v>5</v>
      </c>
      <c r="OO93" s="15">
        <v>5</v>
      </c>
      <c r="OQ93" t="s">
        <v>488</v>
      </c>
      <c r="OR93" t="s">
        <v>487</v>
      </c>
      <c r="OS93" t="s">
        <v>489</v>
      </c>
      <c r="OT93" t="s">
        <v>490</v>
      </c>
      <c r="OU93" t="s">
        <v>490</v>
      </c>
      <c r="OV93" t="s">
        <v>489</v>
      </c>
      <c r="OW93" t="s">
        <v>490</v>
      </c>
      <c r="OY93">
        <v>0</v>
      </c>
      <c r="OZ93">
        <v>5</v>
      </c>
      <c r="PA93">
        <v>0</v>
      </c>
      <c r="PB93">
        <v>0</v>
      </c>
      <c r="PC93">
        <v>0</v>
      </c>
      <c r="PD93">
        <v>0</v>
      </c>
      <c r="PE93">
        <v>0</v>
      </c>
      <c r="PF93">
        <v>0</v>
      </c>
      <c r="PG93">
        <v>0</v>
      </c>
      <c r="PH93">
        <v>0</v>
      </c>
      <c r="PI93">
        <v>0</v>
      </c>
      <c r="PJ93">
        <v>10</v>
      </c>
      <c r="PK93">
        <v>0</v>
      </c>
      <c r="PL93">
        <v>0</v>
      </c>
      <c r="PM93">
        <v>0</v>
      </c>
      <c r="PN93">
        <v>0</v>
      </c>
      <c r="PO93">
        <v>0</v>
      </c>
      <c r="PP93">
        <v>0</v>
      </c>
      <c r="PQ93">
        <v>0</v>
      </c>
      <c r="PR93">
        <v>0</v>
      </c>
      <c r="PT93" t="s">
        <v>488</v>
      </c>
      <c r="PU93" t="s">
        <v>497</v>
      </c>
      <c r="PV93">
        <v>15000</v>
      </c>
      <c r="PW93">
        <v>10000</v>
      </c>
      <c r="PX93">
        <v>25000</v>
      </c>
      <c r="PY93" t="s">
        <v>493</v>
      </c>
      <c r="PZ93" t="s">
        <v>493</v>
      </c>
      <c r="QA93">
        <v>50</v>
      </c>
      <c r="QB93">
        <v>50</v>
      </c>
      <c r="QC93">
        <v>0</v>
      </c>
      <c r="QD93">
        <v>100</v>
      </c>
      <c r="QE93" t="s">
        <v>508</v>
      </c>
      <c r="QZ93">
        <v>1</v>
      </c>
      <c r="RA93">
        <v>10</v>
      </c>
      <c r="RB93" t="s">
        <v>489</v>
      </c>
      <c r="RC93" t="s">
        <v>490</v>
      </c>
      <c r="RD93" t="s">
        <v>490</v>
      </c>
      <c r="RE93" t="s">
        <v>490</v>
      </c>
      <c r="RF93" t="s">
        <v>490</v>
      </c>
      <c r="RG93" t="s">
        <v>490</v>
      </c>
      <c r="RH93" t="s">
        <v>490</v>
      </c>
      <c r="RI93" t="s">
        <v>490</v>
      </c>
    </row>
    <row r="94" spans="1:486">
      <c r="A94">
        <v>1003628</v>
      </c>
      <c r="B94" t="s">
        <v>506</v>
      </c>
      <c r="C94" t="s">
        <v>974</v>
      </c>
      <c r="D94" t="s">
        <v>507</v>
      </c>
      <c r="E94" t="s">
        <v>500</v>
      </c>
      <c r="F94" t="s">
        <v>496</v>
      </c>
      <c r="G94">
        <v>16</v>
      </c>
      <c r="H94" t="s">
        <v>487</v>
      </c>
      <c r="I94" t="s">
        <v>487</v>
      </c>
      <c r="J94" t="s">
        <v>487</v>
      </c>
      <c r="K94" t="s">
        <v>487</v>
      </c>
      <c r="L94" t="s">
        <v>489</v>
      </c>
      <c r="M94" t="s">
        <v>489</v>
      </c>
      <c r="N94" t="s">
        <v>489</v>
      </c>
      <c r="O94" t="s">
        <v>489</v>
      </c>
      <c r="P94" t="s">
        <v>490</v>
      </c>
      <c r="Q94" t="s">
        <v>490</v>
      </c>
      <c r="R94" t="s">
        <v>489</v>
      </c>
      <c r="S94" t="s">
        <v>490</v>
      </c>
      <c r="T94" t="s">
        <v>489</v>
      </c>
      <c r="U94" t="s">
        <v>490</v>
      </c>
      <c r="V94" t="s">
        <v>490</v>
      </c>
      <c r="W94" t="s">
        <v>489</v>
      </c>
      <c r="X94" t="s">
        <v>489</v>
      </c>
      <c r="Y94" t="s">
        <v>490</v>
      </c>
      <c r="Z94" t="s">
        <v>490</v>
      </c>
      <c r="AA94" t="s">
        <v>490</v>
      </c>
      <c r="AB94" t="s">
        <v>489</v>
      </c>
      <c r="AC94" t="s">
        <v>489</v>
      </c>
      <c r="AD94" t="s">
        <v>489</v>
      </c>
      <c r="AE94" t="s">
        <v>490</v>
      </c>
      <c r="AF94" t="s">
        <v>490</v>
      </c>
      <c r="AG94" t="s">
        <v>490</v>
      </c>
      <c r="AH94" t="s">
        <v>489</v>
      </c>
      <c r="AI94" t="s">
        <v>489</v>
      </c>
      <c r="AJ94" t="s">
        <v>490</v>
      </c>
      <c r="AK94" t="s">
        <v>490</v>
      </c>
      <c r="AL94" t="s">
        <v>489</v>
      </c>
      <c r="AM94" t="s">
        <v>489</v>
      </c>
      <c r="AN94" t="s">
        <v>490</v>
      </c>
      <c r="AO94" t="s">
        <v>489</v>
      </c>
      <c r="AP94" t="s">
        <v>490</v>
      </c>
      <c r="AQ94" t="s">
        <v>490</v>
      </c>
      <c r="AR94" t="s">
        <v>489</v>
      </c>
      <c r="AS94" t="s">
        <v>490</v>
      </c>
      <c r="AT94" t="s">
        <v>490</v>
      </c>
      <c r="AU94" t="s">
        <v>489</v>
      </c>
      <c r="AV94" t="s">
        <v>489</v>
      </c>
      <c r="AW94" t="s">
        <v>490</v>
      </c>
      <c r="AX94" t="s">
        <v>489</v>
      </c>
      <c r="AY94" t="s">
        <v>489</v>
      </c>
      <c r="AZ94" t="s">
        <v>490</v>
      </c>
      <c r="BA94" t="s">
        <v>489</v>
      </c>
      <c r="BB94" t="s">
        <v>489</v>
      </c>
      <c r="BC94" t="s">
        <v>490</v>
      </c>
      <c r="BD94" t="s">
        <v>489</v>
      </c>
      <c r="BE94" t="s">
        <v>489</v>
      </c>
      <c r="BF94" t="s">
        <v>490</v>
      </c>
      <c r="BG94" t="s">
        <v>490</v>
      </c>
      <c r="BH94" t="s">
        <v>490</v>
      </c>
      <c r="BI94" t="s">
        <v>489</v>
      </c>
      <c r="BJ94" t="s">
        <v>489</v>
      </c>
      <c r="BK94" t="s">
        <v>489</v>
      </c>
      <c r="BL94" t="s">
        <v>490</v>
      </c>
      <c r="BM94" t="s">
        <v>489</v>
      </c>
      <c r="BN94" t="s">
        <v>490</v>
      </c>
      <c r="BO94" t="s">
        <v>490</v>
      </c>
      <c r="BP94" t="s">
        <v>489</v>
      </c>
      <c r="BQ94" t="s">
        <v>489</v>
      </c>
      <c r="BR94" t="s">
        <v>490</v>
      </c>
      <c r="BS94" t="s">
        <v>489</v>
      </c>
      <c r="BT94" t="s">
        <v>490</v>
      </c>
      <c r="BU94" t="s">
        <v>490</v>
      </c>
      <c r="BV94" t="s">
        <v>489</v>
      </c>
      <c r="BW94" t="s">
        <v>489</v>
      </c>
      <c r="BX94" t="s">
        <v>490</v>
      </c>
      <c r="BY94" t="s">
        <v>489</v>
      </c>
      <c r="BZ94" t="s">
        <v>489</v>
      </c>
      <c r="CA94" t="s">
        <v>490</v>
      </c>
      <c r="CB94" t="s">
        <v>490</v>
      </c>
      <c r="CC94" t="s">
        <v>490</v>
      </c>
      <c r="CD94" t="s">
        <v>489</v>
      </c>
      <c r="CE94" t="s">
        <v>489</v>
      </c>
      <c r="CF94" t="s">
        <v>490</v>
      </c>
      <c r="CG94" t="s">
        <v>490</v>
      </c>
      <c r="CH94" t="s">
        <v>489</v>
      </c>
      <c r="CI94" t="s">
        <v>490</v>
      </c>
      <c r="CJ94" t="s">
        <v>490</v>
      </c>
      <c r="CK94" t="s">
        <v>490</v>
      </c>
      <c r="CL94" t="s">
        <v>490</v>
      </c>
      <c r="CM94" t="s">
        <v>489</v>
      </c>
      <c r="CN94" t="s">
        <v>489</v>
      </c>
      <c r="CO94" t="s">
        <v>490</v>
      </c>
      <c r="CP94" t="s">
        <v>490</v>
      </c>
      <c r="DI94" t="s">
        <v>489</v>
      </c>
      <c r="DJ94" t="s">
        <v>489</v>
      </c>
      <c r="DK94" t="s">
        <v>490</v>
      </c>
      <c r="DL94" t="s">
        <v>489</v>
      </c>
      <c r="DM94" t="s">
        <v>489</v>
      </c>
      <c r="DN94" t="s">
        <v>490</v>
      </c>
      <c r="DO94" t="s">
        <v>490</v>
      </c>
      <c r="DP94" t="s">
        <v>490</v>
      </c>
      <c r="DQ94" t="s">
        <v>489</v>
      </c>
      <c r="DR94" t="s">
        <v>489</v>
      </c>
      <c r="DS94" t="s">
        <v>489</v>
      </c>
      <c r="DT94" t="s">
        <v>490</v>
      </c>
      <c r="DU94" t="s">
        <v>489</v>
      </c>
      <c r="DV94" t="s">
        <v>489</v>
      </c>
      <c r="DW94" t="s">
        <v>490</v>
      </c>
      <c r="DX94" t="s">
        <v>489</v>
      </c>
      <c r="DY94" t="s">
        <v>490</v>
      </c>
      <c r="DZ94" t="s">
        <v>490</v>
      </c>
      <c r="EY94">
        <v>90</v>
      </c>
      <c r="EZ94">
        <v>1</v>
      </c>
      <c r="FA94">
        <v>10</v>
      </c>
      <c r="FB94" t="s">
        <v>543</v>
      </c>
      <c r="OH94" s="15">
        <v>8</v>
      </c>
      <c r="OI94" s="15">
        <v>8</v>
      </c>
      <c r="OJ94" s="15">
        <v>8</v>
      </c>
      <c r="OK94" s="15">
        <v>4</v>
      </c>
      <c r="OL94" s="15">
        <v>8</v>
      </c>
      <c r="OM94" s="15">
        <v>10</v>
      </c>
      <c r="ON94" s="15">
        <v>6</v>
      </c>
      <c r="OO94" s="15">
        <v>4</v>
      </c>
      <c r="OQ94" t="s">
        <v>487</v>
      </c>
      <c r="OR94" t="s">
        <v>487</v>
      </c>
      <c r="OS94" t="s">
        <v>489</v>
      </c>
      <c r="OT94" t="s">
        <v>489</v>
      </c>
      <c r="OU94" t="s">
        <v>489</v>
      </c>
      <c r="OV94" t="s">
        <v>489</v>
      </c>
      <c r="OW94" t="s">
        <v>490</v>
      </c>
      <c r="OY94">
        <v>100</v>
      </c>
      <c r="OZ94">
        <v>90</v>
      </c>
      <c r="PA94">
        <v>90</v>
      </c>
      <c r="PB94">
        <v>80</v>
      </c>
      <c r="PC94">
        <v>0</v>
      </c>
      <c r="PD94">
        <v>0</v>
      </c>
      <c r="PE94">
        <v>0</v>
      </c>
      <c r="PF94">
        <v>0</v>
      </c>
      <c r="PG94">
        <v>20</v>
      </c>
      <c r="PH94">
        <v>0</v>
      </c>
      <c r="PI94">
        <v>0</v>
      </c>
      <c r="PJ94">
        <v>100</v>
      </c>
      <c r="PK94">
        <v>100</v>
      </c>
      <c r="PL94">
        <v>20</v>
      </c>
      <c r="PM94">
        <v>0</v>
      </c>
      <c r="PN94">
        <v>10</v>
      </c>
      <c r="PO94">
        <v>10</v>
      </c>
      <c r="PP94">
        <v>100</v>
      </c>
      <c r="PQ94">
        <v>20</v>
      </c>
      <c r="PR94">
        <v>0</v>
      </c>
      <c r="PT94" t="s">
        <v>487</v>
      </c>
      <c r="PU94" t="s">
        <v>515</v>
      </c>
      <c r="PV94">
        <v>100000</v>
      </c>
      <c r="PW94">
        <v>0</v>
      </c>
      <c r="PX94">
        <v>100000</v>
      </c>
      <c r="PY94" t="s">
        <v>493</v>
      </c>
      <c r="PZ94" t="s">
        <v>493</v>
      </c>
      <c r="QA94">
        <v>10</v>
      </c>
      <c r="QB94">
        <v>90</v>
      </c>
      <c r="QC94">
        <v>10</v>
      </c>
      <c r="QD94">
        <v>90</v>
      </c>
      <c r="QE94" t="s">
        <v>508</v>
      </c>
      <c r="QZ94">
        <v>5</v>
      </c>
      <c r="RA94">
        <v>6</v>
      </c>
      <c r="RB94" t="s">
        <v>489</v>
      </c>
      <c r="RC94" t="s">
        <v>490</v>
      </c>
      <c r="RD94" t="s">
        <v>490</v>
      </c>
      <c r="RE94" t="s">
        <v>490</v>
      </c>
      <c r="RF94" t="s">
        <v>490</v>
      </c>
      <c r="RG94" t="s">
        <v>490</v>
      </c>
      <c r="RH94" t="s">
        <v>490</v>
      </c>
      <c r="RI94" t="s">
        <v>490</v>
      </c>
    </row>
    <row r="95" spans="1:486">
      <c r="A95">
        <v>11457</v>
      </c>
      <c r="B95" t="s">
        <v>506</v>
      </c>
      <c r="C95" t="s">
        <v>974</v>
      </c>
      <c r="D95" t="s">
        <v>507</v>
      </c>
      <c r="E95" t="s">
        <v>500</v>
      </c>
      <c r="F95" t="s">
        <v>496</v>
      </c>
      <c r="G95">
        <v>65</v>
      </c>
      <c r="H95" t="s">
        <v>487</v>
      </c>
      <c r="I95" t="s">
        <v>487</v>
      </c>
      <c r="J95" t="s">
        <v>487</v>
      </c>
      <c r="K95" t="s">
        <v>487</v>
      </c>
      <c r="L95" t="s">
        <v>489</v>
      </c>
      <c r="M95" t="s">
        <v>489</v>
      </c>
      <c r="N95" t="s">
        <v>489</v>
      </c>
      <c r="O95" t="s">
        <v>490</v>
      </c>
      <c r="P95" t="s">
        <v>490</v>
      </c>
      <c r="Q95" t="s">
        <v>490</v>
      </c>
      <c r="R95" t="s">
        <v>490</v>
      </c>
      <c r="S95" t="s">
        <v>490</v>
      </c>
      <c r="T95" t="s">
        <v>489</v>
      </c>
      <c r="U95" t="s">
        <v>489</v>
      </c>
      <c r="V95" t="s">
        <v>490</v>
      </c>
      <c r="W95" t="s">
        <v>489</v>
      </c>
      <c r="X95" t="s">
        <v>490</v>
      </c>
      <c r="Y95" t="s">
        <v>490</v>
      </c>
      <c r="Z95" t="s">
        <v>490</v>
      </c>
      <c r="AA95" t="s">
        <v>490</v>
      </c>
      <c r="AB95" t="s">
        <v>489</v>
      </c>
      <c r="AC95" t="s">
        <v>489</v>
      </c>
      <c r="AD95" t="s">
        <v>489</v>
      </c>
      <c r="AE95" t="s">
        <v>490</v>
      </c>
      <c r="AF95" t="s">
        <v>489</v>
      </c>
      <c r="AG95" t="s">
        <v>490</v>
      </c>
      <c r="AH95" t="s">
        <v>490</v>
      </c>
      <c r="AI95" t="s">
        <v>489</v>
      </c>
      <c r="AJ95" t="s">
        <v>490</v>
      </c>
      <c r="AK95" t="s">
        <v>490</v>
      </c>
      <c r="AL95" t="s">
        <v>489</v>
      </c>
      <c r="AM95" t="s">
        <v>489</v>
      </c>
      <c r="AN95" t="s">
        <v>490</v>
      </c>
      <c r="AO95" t="s">
        <v>489</v>
      </c>
      <c r="AP95" t="s">
        <v>490</v>
      </c>
      <c r="AQ95" t="s">
        <v>490</v>
      </c>
      <c r="AR95" t="s">
        <v>490</v>
      </c>
      <c r="AS95" t="s">
        <v>489</v>
      </c>
      <c r="AT95" t="s">
        <v>490</v>
      </c>
      <c r="AU95" t="s">
        <v>489</v>
      </c>
      <c r="AV95" t="s">
        <v>490</v>
      </c>
      <c r="AW95" t="s">
        <v>490</v>
      </c>
      <c r="AX95" t="s">
        <v>490</v>
      </c>
      <c r="AY95" t="s">
        <v>490</v>
      </c>
      <c r="AZ95" t="s">
        <v>489</v>
      </c>
      <c r="BA95" t="s">
        <v>490</v>
      </c>
      <c r="BB95" t="s">
        <v>490</v>
      </c>
      <c r="BC95" t="s">
        <v>489</v>
      </c>
      <c r="BD95" t="s">
        <v>490</v>
      </c>
      <c r="BE95" t="s">
        <v>490</v>
      </c>
      <c r="BF95" t="s">
        <v>489</v>
      </c>
      <c r="BG95" t="s">
        <v>490</v>
      </c>
      <c r="BH95" t="s">
        <v>490</v>
      </c>
      <c r="BI95" t="s">
        <v>489</v>
      </c>
      <c r="BJ95" t="s">
        <v>489</v>
      </c>
      <c r="BK95" t="s">
        <v>489</v>
      </c>
      <c r="BL95" t="s">
        <v>490</v>
      </c>
      <c r="BM95" t="s">
        <v>489</v>
      </c>
      <c r="BN95" t="s">
        <v>489</v>
      </c>
      <c r="BO95" t="s">
        <v>490</v>
      </c>
      <c r="BP95" t="s">
        <v>490</v>
      </c>
      <c r="BQ95" t="s">
        <v>490</v>
      </c>
      <c r="BR95" t="s">
        <v>489</v>
      </c>
      <c r="BS95" t="s">
        <v>490</v>
      </c>
      <c r="BT95" t="s">
        <v>490</v>
      </c>
      <c r="BU95" t="s">
        <v>489</v>
      </c>
      <c r="BV95" t="s">
        <v>489</v>
      </c>
      <c r="BW95" t="s">
        <v>489</v>
      </c>
      <c r="BX95" t="s">
        <v>490</v>
      </c>
      <c r="BY95" t="s">
        <v>489</v>
      </c>
      <c r="BZ95" t="s">
        <v>489</v>
      </c>
      <c r="CA95" t="s">
        <v>490</v>
      </c>
      <c r="EY95">
        <v>60</v>
      </c>
      <c r="EZ95">
        <v>5</v>
      </c>
      <c r="FA95">
        <v>90</v>
      </c>
      <c r="FB95" t="s">
        <v>543</v>
      </c>
      <c r="OH95" s="15">
        <v>8</v>
      </c>
      <c r="OI95" s="15">
        <v>6</v>
      </c>
      <c r="OJ95" s="15">
        <v>8</v>
      </c>
      <c r="OK95" s="15">
        <v>4</v>
      </c>
      <c r="OL95" s="15">
        <v>4</v>
      </c>
      <c r="OM95" s="15">
        <v>8</v>
      </c>
      <c r="ON95" s="15">
        <v>5</v>
      </c>
      <c r="OO95" s="15">
        <v>4</v>
      </c>
      <c r="OQ95" t="s">
        <v>487</v>
      </c>
      <c r="OR95" t="s">
        <v>487</v>
      </c>
      <c r="OS95" t="s">
        <v>489</v>
      </c>
      <c r="OT95" t="s">
        <v>490</v>
      </c>
      <c r="OU95" t="s">
        <v>490</v>
      </c>
      <c r="OV95" t="s">
        <v>489</v>
      </c>
      <c r="OW95" t="s">
        <v>490</v>
      </c>
      <c r="OY95">
        <v>20</v>
      </c>
      <c r="OZ95">
        <v>10</v>
      </c>
      <c r="PA95">
        <v>10</v>
      </c>
      <c r="PB95">
        <v>10</v>
      </c>
      <c r="PC95">
        <v>0</v>
      </c>
      <c r="PD95">
        <v>0</v>
      </c>
      <c r="PE95">
        <v>0</v>
      </c>
      <c r="PF95">
        <v>0</v>
      </c>
      <c r="PG95">
        <v>0</v>
      </c>
      <c r="PH95">
        <v>0</v>
      </c>
      <c r="PI95">
        <v>25</v>
      </c>
      <c r="PJ95">
        <v>15</v>
      </c>
      <c r="PK95">
        <v>15</v>
      </c>
      <c r="PL95">
        <v>15</v>
      </c>
      <c r="PM95">
        <v>0</v>
      </c>
      <c r="PN95">
        <v>0</v>
      </c>
      <c r="PO95">
        <v>0</v>
      </c>
      <c r="PP95">
        <v>0</v>
      </c>
      <c r="PQ95">
        <v>0</v>
      </c>
      <c r="PR95">
        <v>0</v>
      </c>
      <c r="PT95" t="s">
        <v>487</v>
      </c>
      <c r="PU95" t="s">
        <v>497</v>
      </c>
      <c r="PV95">
        <v>250000</v>
      </c>
      <c r="PW95">
        <v>30000</v>
      </c>
      <c r="PX95">
        <v>280000</v>
      </c>
      <c r="PY95" t="s">
        <v>493</v>
      </c>
      <c r="PZ95" t="s">
        <v>493</v>
      </c>
      <c r="QA95">
        <v>30</v>
      </c>
      <c r="QB95">
        <v>70</v>
      </c>
      <c r="QC95">
        <v>90</v>
      </c>
      <c r="QD95">
        <v>10</v>
      </c>
      <c r="QE95" t="s">
        <v>494</v>
      </c>
      <c r="QF95">
        <v>15</v>
      </c>
      <c r="QG95">
        <v>10</v>
      </c>
      <c r="QH95">
        <v>5</v>
      </c>
      <c r="QI95">
        <v>10</v>
      </c>
      <c r="QJ95">
        <v>20</v>
      </c>
      <c r="QK95">
        <v>5</v>
      </c>
      <c r="QL95">
        <v>10</v>
      </c>
      <c r="QM95">
        <v>15</v>
      </c>
      <c r="QN95">
        <v>10</v>
      </c>
      <c r="QP95">
        <v>25</v>
      </c>
      <c r="QQ95">
        <v>30</v>
      </c>
      <c r="QR95">
        <v>5</v>
      </c>
      <c r="QS95">
        <v>5</v>
      </c>
      <c r="QT95">
        <v>10</v>
      </c>
      <c r="QU95">
        <v>10</v>
      </c>
      <c r="QV95">
        <v>5</v>
      </c>
      <c r="QW95">
        <v>10</v>
      </c>
      <c r="QX95">
        <v>0</v>
      </c>
      <c r="QZ95">
        <v>4</v>
      </c>
      <c r="RA95">
        <v>5</v>
      </c>
      <c r="RB95" t="s">
        <v>489</v>
      </c>
      <c r="RC95" t="s">
        <v>490</v>
      </c>
      <c r="RD95" t="s">
        <v>489</v>
      </c>
      <c r="RE95" t="s">
        <v>489</v>
      </c>
      <c r="RF95" t="s">
        <v>490</v>
      </c>
      <c r="RG95" t="s">
        <v>490</v>
      </c>
      <c r="RH95" t="s">
        <v>490</v>
      </c>
      <c r="RI95" t="s">
        <v>490</v>
      </c>
      <c r="RN95" t="s">
        <v>557</v>
      </c>
      <c r="RR95" t="s">
        <v>558</v>
      </c>
    </row>
    <row r="96" spans="1:486">
      <c r="A96">
        <v>1003707</v>
      </c>
      <c r="B96" t="s">
        <v>506</v>
      </c>
      <c r="C96" t="s">
        <v>974</v>
      </c>
      <c r="D96" t="s">
        <v>507</v>
      </c>
      <c r="E96" t="s">
        <v>500</v>
      </c>
      <c r="F96" t="s">
        <v>496</v>
      </c>
      <c r="G96">
        <v>45</v>
      </c>
      <c r="H96" t="s">
        <v>487</v>
      </c>
      <c r="I96" t="s">
        <v>487</v>
      </c>
      <c r="J96" t="s">
        <v>487</v>
      </c>
      <c r="K96" t="s">
        <v>487</v>
      </c>
      <c r="L96" t="s">
        <v>489</v>
      </c>
      <c r="M96" t="s">
        <v>489</v>
      </c>
      <c r="N96" t="s">
        <v>489</v>
      </c>
      <c r="O96" t="s">
        <v>490</v>
      </c>
      <c r="P96" t="s">
        <v>490</v>
      </c>
      <c r="Q96" t="s">
        <v>490</v>
      </c>
      <c r="R96" t="s">
        <v>489</v>
      </c>
      <c r="S96" t="s">
        <v>489</v>
      </c>
      <c r="T96" t="s">
        <v>489</v>
      </c>
      <c r="U96" t="s">
        <v>490</v>
      </c>
      <c r="V96" t="s">
        <v>490</v>
      </c>
      <c r="W96" t="s">
        <v>489</v>
      </c>
      <c r="X96" t="s">
        <v>490</v>
      </c>
      <c r="Y96" t="s">
        <v>490</v>
      </c>
      <c r="Z96" t="s">
        <v>490</v>
      </c>
      <c r="AA96" t="s">
        <v>489</v>
      </c>
      <c r="AB96" t="s">
        <v>490</v>
      </c>
      <c r="AC96" t="s">
        <v>489</v>
      </c>
      <c r="AD96" t="s">
        <v>490</v>
      </c>
      <c r="AE96" t="s">
        <v>490</v>
      </c>
      <c r="AF96" t="s">
        <v>489</v>
      </c>
      <c r="AG96" t="s">
        <v>490</v>
      </c>
      <c r="AH96" t="s">
        <v>490</v>
      </c>
      <c r="AI96" t="s">
        <v>489</v>
      </c>
      <c r="AJ96" t="s">
        <v>490</v>
      </c>
      <c r="AK96" t="s">
        <v>490</v>
      </c>
      <c r="AL96" t="s">
        <v>489</v>
      </c>
      <c r="AM96" t="s">
        <v>490</v>
      </c>
      <c r="AN96" t="s">
        <v>490</v>
      </c>
      <c r="AO96" t="s">
        <v>489</v>
      </c>
      <c r="AP96" t="s">
        <v>490</v>
      </c>
      <c r="AQ96" t="s">
        <v>490</v>
      </c>
      <c r="AR96" t="s">
        <v>489</v>
      </c>
      <c r="AS96" t="s">
        <v>490</v>
      </c>
      <c r="AT96" t="s">
        <v>490</v>
      </c>
      <c r="AU96" t="s">
        <v>489</v>
      </c>
      <c r="AV96" t="s">
        <v>490</v>
      </c>
      <c r="AW96" t="s">
        <v>490</v>
      </c>
      <c r="AX96" t="s">
        <v>489</v>
      </c>
      <c r="AY96" t="s">
        <v>489</v>
      </c>
      <c r="AZ96" t="s">
        <v>490</v>
      </c>
      <c r="BA96" t="s">
        <v>489</v>
      </c>
      <c r="BB96" t="s">
        <v>489</v>
      </c>
      <c r="BC96" t="s">
        <v>490</v>
      </c>
      <c r="BD96" t="s">
        <v>489</v>
      </c>
      <c r="BE96" t="s">
        <v>489</v>
      </c>
      <c r="BF96" t="s">
        <v>490</v>
      </c>
      <c r="BG96" t="s">
        <v>490</v>
      </c>
      <c r="BH96" t="s">
        <v>490</v>
      </c>
      <c r="BI96" t="s">
        <v>489</v>
      </c>
      <c r="BJ96" t="s">
        <v>489</v>
      </c>
      <c r="BK96" t="s">
        <v>489</v>
      </c>
      <c r="BL96" t="s">
        <v>490</v>
      </c>
      <c r="BM96" t="s">
        <v>489</v>
      </c>
      <c r="BN96" t="s">
        <v>489</v>
      </c>
      <c r="BO96" t="s">
        <v>490</v>
      </c>
      <c r="BP96" t="s">
        <v>489</v>
      </c>
      <c r="BQ96" t="s">
        <v>489</v>
      </c>
      <c r="BR96" t="s">
        <v>490</v>
      </c>
      <c r="BS96" t="s">
        <v>489</v>
      </c>
      <c r="BT96" t="s">
        <v>489</v>
      </c>
      <c r="BU96" t="s">
        <v>490</v>
      </c>
      <c r="BV96" t="s">
        <v>489</v>
      </c>
      <c r="BW96" t="s">
        <v>490</v>
      </c>
      <c r="BX96" t="s">
        <v>490</v>
      </c>
      <c r="BY96" t="s">
        <v>489</v>
      </c>
      <c r="BZ96" t="s">
        <v>490</v>
      </c>
      <c r="CA96" t="s">
        <v>490</v>
      </c>
      <c r="DI96" t="s">
        <v>489</v>
      </c>
      <c r="DJ96" t="s">
        <v>489</v>
      </c>
      <c r="DK96" t="s">
        <v>490</v>
      </c>
      <c r="DL96" t="s">
        <v>489</v>
      </c>
      <c r="DM96" t="s">
        <v>489</v>
      </c>
      <c r="DN96" t="s">
        <v>490</v>
      </c>
      <c r="DO96" t="s">
        <v>490</v>
      </c>
      <c r="DP96" t="s">
        <v>490</v>
      </c>
      <c r="DQ96" t="s">
        <v>489</v>
      </c>
      <c r="DR96" t="s">
        <v>489</v>
      </c>
      <c r="DS96" t="s">
        <v>489</v>
      </c>
      <c r="DT96" t="s">
        <v>490</v>
      </c>
      <c r="DU96" t="s">
        <v>489</v>
      </c>
      <c r="DV96" t="s">
        <v>489</v>
      </c>
      <c r="DW96" t="s">
        <v>490</v>
      </c>
      <c r="DX96" t="s">
        <v>489</v>
      </c>
      <c r="DY96" t="s">
        <v>489</v>
      </c>
      <c r="DZ96" t="s">
        <v>490</v>
      </c>
      <c r="EA96" t="s">
        <v>490</v>
      </c>
      <c r="EB96" t="s">
        <v>489</v>
      </c>
      <c r="EC96" t="s">
        <v>490</v>
      </c>
      <c r="ED96" t="s">
        <v>490</v>
      </c>
      <c r="EE96" t="s">
        <v>490</v>
      </c>
      <c r="EF96" t="s">
        <v>489</v>
      </c>
      <c r="EG96" t="s">
        <v>490</v>
      </c>
      <c r="EH96" t="s">
        <v>490</v>
      </c>
      <c r="EI96" t="s">
        <v>489</v>
      </c>
      <c r="EJ96" t="s">
        <v>490</v>
      </c>
      <c r="EK96" t="s">
        <v>489</v>
      </c>
      <c r="EL96" t="s">
        <v>490</v>
      </c>
      <c r="EM96" t="s">
        <v>490</v>
      </c>
      <c r="EN96" t="s">
        <v>490</v>
      </c>
      <c r="EO96" t="s">
        <v>489</v>
      </c>
      <c r="EP96" t="s">
        <v>490</v>
      </c>
      <c r="EQ96" t="s">
        <v>490</v>
      </c>
      <c r="ER96" t="s">
        <v>489</v>
      </c>
      <c r="ES96" t="s">
        <v>490</v>
      </c>
      <c r="ET96" t="s">
        <v>490</v>
      </c>
      <c r="EU96" t="s">
        <v>489</v>
      </c>
      <c r="EV96" t="s">
        <v>490</v>
      </c>
      <c r="EW96" t="s">
        <v>490</v>
      </c>
      <c r="EX96" t="s">
        <v>489</v>
      </c>
      <c r="EY96">
        <v>80</v>
      </c>
      <c r="EZ96">
        <v>5</v>
      </c>
      <c r="FA96">
        <v>75</v>
      </c>
      <c r="FB96" t="s">
        <v>543</v>
      </c>
      <c r="OH96" s="15">
        <v>9</v>
      </c>
      <c r="OI96" s="15">
        <v>7</v>
      </c>
      <c r="OJ96" s="15">
        <v>7</v>
      </c>
      <c r="OK96" s="15">
        <v>5</v>
      </c>
      <c r="OL96" s="15">
        <v>9</v>
      </c>
      <c r="OM96" s="15">
        <v>9</v>
      </c>
      <c r="ON96" s="15">
        <v>1</v>
      </c>
      <c r="OO96" s="15">
        <v>1</v>
      </c>
      <c r="OQ96" t="s">
        <v>487</v>
      </c>
      <c r="OR96" t="s">
        <v>487</v>
      </c>
      <c r="OS96" t="s">
        <v>489</v>
      </c>
      <c r="OT96" t="s">
        <v>489</v>
      </c>
      <c r="OU96" t="s">
        <v>490</v>
      </c>
      <c r="OV96" t="s">
        <v>489</v>
      </c>
      <c r="OW96" t="s">
        <v>490</v>
      </c>
      <c r="OY96">
        <v>100</v>
      </c>
      <c r="OZ96">
        <v>100</v>
      </c>
      <c r="PA96">
        <v>100</v>
      </c>
      <c r="PB96">
        <v>0</v>
      </c>
      <c r="PC96">
        <v>0</v>
      </c>
      <c r="PD96">
        <v>0</v>
      </c>
      <c r="PE96">
        <v>0</v>
      </c>
      <c r="PF96">
        <v>0</v>
      </c>
      <c r="PG96">
        <v>0</v>
      </c>
      <c r="PH96">
        <v>0</v>
      </c>
      <c r="PI96">
        <v>100</v>
      </c>
      <c r="PJ96">
        <v>100</v>
      </c>
      <c r="PK96">
        <v>100</v>
      </c>
      <c r="PL96">
        <v>20</v>
      </c>
      <c r="PM96">
        <v>0</v>
      </c>
      <c r="PN96">
        <v>0</v>
      </c>
      <c r="PO96">
        <v>20</v>
      </c>
      <c r="PP96">
        <v>20</v>
      </c>
      <c r="PQ96">
        <v>25</v>
      </c>
      <c r="PR96">
        <v>0</v>
      </c>
      <c r="PT96" t="s">
        <v>487</v>
      </c>
      <c r="PU96" t="s">
        <v>497</v>
      </c>
      <c r="PV96">
        <v>130000</v>
      </c>
      <c r="PW96">
        <v>50000</v>
      </c>
      <c r="PX96">
        <v>180000</v>
      </c>
      <c r="PY96" t="s">
        <v>493</v>
      </c>
      <c r="PZ96" t="s">
        <v>493</v>
      </c>
      <c r="QA96">
        <v>60</v>
      </c>
      <c r="QB96">
        <v>40</v>
      </c>
      <c r="QC96">
        <v>80</v>
      </c>
      <c r="QD96">
        <v>20</v>
      </c>
      <c r="QE96" t="s">
        <v>508</v>
      </c>
      <c r="QZ96">
        <v>4</v>
      </c>
      <c r="RA96">
        <v>10</v>
      </c>
      <c r="RB96" t="s">
        <v>489</v>
      </c>
      <c r="RC96" t="s">
        <v>490</v>
      </c>
      <c r="RD96" t="s">
        <v>489</v>
      </c>
      <c r="RE96" t="s">
        <v>489</v>
      </c>
      <c r="RF96" t="s">
        <v>490</v>
      </c>
      <c r="RG96" t="s">
        <v>489</v>
      </c>
      <c r="RH96" t="s">
        <v>490</v>
      </c>
      <c r="RI96" t="s">
        <v>490</v>
      </c>
    </row>
    <row r="97" spans="1:486">
      <c r="A97">
        <v>11984</v>
      </c>
      <c r="B97" t="s">
        <v>506</v>
      </c>
      <c r="C97" t="s">
        <v>974</v>
      </c>
      <c r="D97" t="s">
        <v>507</v>
      </c>
      <c r="E97" t="s">
        <v>500</v>
      </c>
      <c r="F97" t="s">
        <v>505</v>
      </c>
      <c r="G97">
        <v>6.3</v>
      </c>
      <c r="H97" t="s">
        <v>487</v>
      </c>
      <c r="I97" t="s">
        <v>487</v>
      </c>
      <c r="J97" t="s">
        <v>488</v>
      </c>
      <c r="K97" t="s">
        <v>488</v>
      </c>
      <c r="L97" t="s">
        <v>489</v>
      </c>
      <c r="M97" t="s">
        <v>489</v>
      </c>
      <c r="N97" t="s">
        <v>489</v>
      </c>
      <c r="O97" t="s">
        <v>490</v>
      </c>
      <c r="P97" t="s">
        <v>490</v>
      </c>
      <c r="Q97" t="s">
        <v>490</v>
      </c>
      <c r="R97" t="s">
        <v>489</v>
      </c>
      <c r="S97" t="s">
        <v>489</v>
      </c>
      <c r="T97" t="s">
        <v>489</v>
      </c>
      <c r="U97" t="s">
        <v>490</v>
      </c>
      <c r="V97" t="s">
        <v>490</v>
      </c>
      <c r="W97" t="s">
        <v>489</v>
      </c>
      <c r="X97" t="s">
        <v>490</v>
      </c>
      <c r="Y97" t="s">
        <v>490</v>
      </c>
      <c r="Z97" t="s">
        <v>490</v>
      </c>
      <c r="AA97" t="s">
        <v>490</v>
      </c>
      <c r="AB97" t="s">
        <v>489</v>
      </c>
      <c r="AC97" t="s">
        <v>489</v>
      </c>
      <c r="AD97" t="s">
        <v>489</v>
      </c>
      <c r="AE97" t="s">
        <v>490</v>
      </c>
      <c r="AF97" t="s">
        <v>489</v>
      </c>
      <c r="AG97" t="s">
        <v>490</v>
      </c>
      <c r="AH97" t="s">
        <v>490</v>
      </c>
      <c r="AI97" t="s">
        <v>489</v>
      </c>
      <c r="AJ97" t="s">
        <v>490</v>
      </c>
      <c r="AK97" t="s">
        <v>490</v>
      </c>
      <c r="AL97" t="s">
        <v>489</v>
      </c>
      <c r="AM97" t="s">
        <v>490</v>
      </c>
      <c r="AN97" t="s">
        <v>490</v>
      </c>
      <c r="AO97" t="s">
        <v>489</v>
      </c>
      <c r="AP97" t="s">
        <v>490</v>
      </c>
      <c r="AQ97" t="s">
        <v>490</v>
      </c>
      <c r="AR97" t="s">
        <v>489</v>
      </c>
      <c r="AS97" t="s">
        <v>490</v>
      </c>
      <c r="AT97" t="s">
        <v>490</v>
      </c>
      <c r="AU97" t="s">
        <v>489</v>
      </c>
      <c r="AV97" t="s">
        <v>490</v>
      </c>
      <c r="AW97" t="s">
        <v>490</v>
      </c>
      <c r="AX97" t="s">
        <v>489</v>
      </c>
      <c r="AY97" t="s">
        <v>489</v>
      </c>
      <c r="AZ97" t="s">
        <v>490</v>
      </c>
      <c r="BA97" t="s">
        <v>489</v>
      </c>
      <c r="BB97" t="s">
        <v>489</v>
      </c>
      <c r="BC97" t="s">
        <v>490</v>
      </c>
      <c r="BD97" t="s">
        <v>489</v>
      </c>
      <c r="BE97" t="s">
        <v>489</v>
      </c>
      <c r="BF97" t="s">
        <v>490</v>
      </c>
      <c r="BG97" t="s">
        <v>489</v>
      </c>
      <c r="BH97" t="s">
        <v>489</v>
      </c>
      <c r="BI97" t="s">
        <v>490</v>
      </c>
      <c r="BJ97" t="s">
        <v>489</v>
      </c>
      <c r="BK97" t="s">
        <v>489</v>
      </c>
      <c r="BL97" t="s">
        <v>490</v>
      </c>
      <c r="BM97" t="s">
        <v>490</v>
      </c>
      <c r="BN97" t="s">
        <v>490</v>
      </c>
      <c r="BO97" t="s">
        <v>489</v>
      </c>
      <c r="BP97" t="s">
        <v>489</v>
      </c>
      <c r="BQ97" t="s">
        <v>490</v>
      </c>
      <c r="BR97" t="s">
        <v>490</v>
      </c>
      <c r="BS97" t="s">
        <v>490</v>
      </c>
      <c r="BT97" t="s">
        <v>490</v>
      </c>
      <c r="BU97" t="s">
        <v>489</v>
      </c>
      <c r="BV97" t="s">
        <v>489</v>
      </c>
      <c r="BW97" t="s">
        <v>490</v>
      </c>
      <c r="BX97" t="s">
        <v>490</v>
      </c>
      <c r="BY97" t="s">
        <v>489</v>
      </c>
      <c r="BZ97" t="s">
        <v>489</v>
      </c>
      <c r="CA97" t="s">
        <v>490</v>
      </c>
      <c r="DI97" t="s">
        <v>489</v>
      </c>
      <c r="DJ97" t="s">
        <v>490</v>
      </c>
      <c r="DK97" t="s">
        <v>490</v>
      </c>
      <c r="DL97" t="s">
        <v>489</v>
      </c>
      <c r="DM97" t="s">
        <v>489</v>
      </c>
      <c r="DN97" t="s">
        <v>490</v>
      </c>
      <c r="DO97" t="s">
        <v>490</v>
      </c>
      <c r="DP97" t="s">
        <v>490</v>
      </c>
      <c r="DQ97" t="s">
        <v>489</v>
      </c>
      <c r="DR97" t="s">
        <v>490</v>
      </c>
      <c r="DS97" t="s">
        <v>489</v>
      </c>
      <c r="DT97" t="s">
        <v>490</v>
      </c>
      <c r="DU97" t="s">
        <v>490</v>
      </c>
      <c r="DV97" t="s">
        <v>489</v>
      </c>
      <c r="DW97" t="s">
        <v>490</v>
      </c>
      <c r="DX97" t="s">
        <v>490</v>
      </c>
      <c r="DY97" t="s">
        <v>489</v>
      </c>
      <c r="DZ97" t="s">
        <v>490</v>
      </c>
      <c r="EA97" t="s">
        <v>490</v>
      </c>
      <c r="EB97" t="s">
        <v>489</v>
      </c>
      <c r="EC97" t="s">
        <v>490</v>
      </c>
      <c r="ED97" t="s">
        <v>490</v>
      </c>
      <c r="EE97" t="s">
        <v>490</v>
      </c>
      <c r="EF97" t="s">
        <v>489</v>
      </c>
      <c r="EG97" t="s">
        <v>490</v>
      </c>
      <c r="EH97" t="s">
        <v>490</v>
      </c>
      <c r="EI97" t="s">
        <v>489</v>
      </c>
      <c r="EJ97" t="s">
        <v>490</v>
      </c>
      <c r="EK97" t="s">
        <v>489</v>
      </c>
      <c r="EL97" t="s">
        <v>490</v>
      </c>
      <c r="EM97" t="s">
        <v>490</v>
      </c>
      <c r="EN97" t="s">
        <v>490</v>
      </c>
      <c r="EO97" t="s">
        <v>489</v>
      </c>
      <c r="EP97" t="s">
        <v>490</v>
      </c>
      <c r="EQ97" t="s">
        <v>490</v>
      </c>
      <c r="ER97" t="s">
        <v>489</v>
      </c>
      <c r="ES97" t="s">
        <v>490</v>
      </c>
      <c r="ET97" t="s">
        <v>490</v>
      </c>
      <c r="EU97" t="s">
        <v>489</v>
      </c>
      <c r="EV97" t="s">
        <v>490</v>
      </c>
      <c r="EW97" t="s">
        <v>489</v>
      </c>
      <c r="EX97" t="s">
        <v>490</v>
      </c>
      <c r="EY97">
        <v>70</v>
      </c>
      <c r="EZ97">
        <v>1</v>
      </c>
      <c r="FA97">
        <v>10</v>
      </c>
      <c r="FB97" t="s">
        <v>543</v>
      </c>
      <c r="OH97" s="15">
        <v>9</v>
      </c>
      <c r="OI97" s="15">
        <v>9</v>
      </c>
      <c r="OJ97" s="15">
        <v>7</v>
      </c>
      <c r="OK97" s="15">
        <v>4</v>
      </c>
      <c r="OL97" s="15">
        <v>9</v>
      </c>
      <c r="OM97" s="15">
        <v>10</v>
      </c>
      <c r="ON97" s="15">
        <v>2</v>
      </c>
      <c r="OO97" s="15">
        <v>6</v>
      </c>
      <c r="OQ97" t="s">
        <v>488</v>
      </c>
      <c r="OR97" t="s">
        <v>487</v>
      </c>
      <c r="OS97" t="s">
        <v>489</v>
      </c>
      <c r="OT97" t="s">
        <v>490</v>
      </c>
      <c r="OU97" t="s">
        <v>490</v>
      </c>
      <c r="OV97" t="s">
        <v>489</v>
      </c>
      <c r="OW97" t="s">
        <v>490</v>
      </c>
      <c r="OY97">
        <v>40</v>
      </c>
      <c r="OZ97">
        <v>0</v>
      </c>
      <c r="PA97">
        <v>0</v>
      </c>
      <c r="PB97">
        <v>0</v>
      </c>
      <c r="PC97">
        <v>0</v>
      </c>
      <c r="PD97">
        <v>0</v>
      </c>
      <c r="PE97">
        <v>0</v>
      </c>
      <c r="PF97">
        <v>0</v>
      </c>
      <c r="PG97">
        <v>0</v>
      </c>
      <c r="PH97">
        <v>0</v>
      </c>
      <c r="PI97">
        <v>40</v>
      </c>
      <c r="PJ97">
        <v>0</v>
      </c>
      <c r="PK97">
        <v>0</v>
      </c>
      <c r="PL97">
        <v>0</v>
      </c>
      <c r="PM97">
        <v>0</v>
      </c>
      <c r="PN97">
        <v>0</v>
      </c>
      <c r="PO97">
        <v>0</v>
      </c>
      <c r="PP97">
        <v>0</v>
      </c>
      <c r="PQ97">
        <v>0</v>
      </c>
      <c r="PR97">
        <v>0</v>
      </c>
      <c r="PS97" t="s">
        <v>566</v>
      </c>
      <c r="PT97" t="s">
        <v>488</v>
      </c>
      <c r="PU97" t="s">
        <v>497</v>
      </c>
      <c r="PV97">
        <v>20000</v>
      </c>
      <c r="PW97">
        <v>0</v>
      </c>
      <c r="PX97">
        <v>20000</v>
      </c>
      <c r="PY97" t="s">
        <v>493</v>
      </c>
      <c r="PZ97" t="s">
        <v>493</v>
      </c>
      <c r="QA97">
        <v>25</v>
      </c>
      <c r="QB97">
        <v>75</v>
      </c>
      <c r="QC97">
        <v>10</v>
      </c>
      <c r="QD97">
        <v>90</v>
      </c>
      <c r="QE97" t="s">
        <v>508</v>
      </c>
      <c r="QZ97">
        <v>1</v>
      </c>
      <c r="RA97">
        <v>2</v>
      </c>
      <c r="RB97" t="s">
        <v>489</v>
      </c>
      <c r="RC97" t="s">
        <v>490</v>
      </c>
      <c r="RD97" t="s">
        <v>490</v>
      </c>
      <c r="RE97" t="s">
        <v>490</v>
      </c>
      <c r="RF97" t="s">
        <v>490</v>
      </c>
      <c r="RG97" t="s">
        <v>490</v>
      </c>
      <c r="RH97" t="s">
        <v>490</v>
      </c>
      <c r="RI97" t="s">
        <v>489</v>
      </c>
      <c r="RL97" t="s">
        <v>567</v>
      </c>
      <c r="RP97" t="s">
        <v>568</v>
      </c>
      <c r="RR97" t="s">
        <v>569</v>
      </c>
    </row>
    <row r="98" spans="1:486">
      <c r="A98">
        <v>11553</v>
      </c>
      <c r="B98" t="s">
        <v>506</v>
      </c>
      <c r="C98" t="s">
        <v>974</v>
      </c>
      <c r="D98" t="s">
        <v>507</v>
      </c>
      <c r="E98" t="s">
        <v>500</v>
      </c>
      <c r="F98" t="s">
        <v>496</v>
      </c>
      <c r="G98">
        <v>44.76</v>
      </c>
      <c r="H98" t="s">
        <v>487</v>
      </c>
      <c r="I98" t="s">
        <v>487</v>
      </c>
      <c r="J98" t="s">
        <v>487</v>
      </c>
      <c r="K98" t="s">
        <v>487</v>
      </c>
      <c r="L98" t="s">
        <v>489</v>
      </c>
      <c r="M98" t="s">
        <v>489</v>
      </c>
      <c r="N98" t="s">
        <v>489</v>
      </c>
      <c r="O98" t="s">
        <v>490</v>
      </c>
      <c r="P98" t="s">
        <v>490</v>
      </c>
      <c r="Q98" t="s">
        <v>490</v>
      </c>
      <c r="R98" t="s">
        <v>489</v>
      </c>
      <c r="S98" t="s">
        <v>490</v>
      </c>
      <c r="T98" t="s">
        <v>489</v>
      </c>
      <c r="U98" t="s">
        <v>490</v>
      </c>
      <c r="V98" t="s">
        <v>490</v>
      </c>
      <c r="W98" t="s">
        <v>489</v>
      </c>
      <c r="X98" t="s">
        <v>490</v>
      </c>
      <c r="Y98" t="s">
        <v>490</v>
      </c>
      <c r="Z98" t="s">
        <v>490</v>
      </c>
      <c r="AA98" t="s">
        <v>490</v>
      </c>
      <c r="AB98" t="s">
        <v>489</v>
      </c>
      <c r="AC98" t="s">
        <v>489</v>
      </c>
      <c r="AD98" t="s">
        <v>489</v>
      </c>
      <c r="AE98" t="s">
        <v>490</v>
      </c>
      <c r="AF98" t="s">
        <v>489</v>
      </c>
      <c r="AG98" t="s">
        <v>490</v>
      </c>
      <c r="AH98" t="s">
        <v>490</v>
      </c>
      <c r="AI98" t="s">
        <v>489</v>
      </c>
      <c r="AJ98" t="s">
        <v>490</v>
      </c>
      <c r="AK98" t="s">
        <v>490</v>
      </c>
      <c r="AL98" t="s">
        <v>489</v>
      </c>
      <c r="AM98" t="s">
        <v>489</v>
      </c>
      <c r="AN98" t="s">
        <v>490</v>
      </c>
      <c r="AO98" t="s">
        <v>489</v>
      </c>
      <c r="AP98" t="s">
        <v>489</v>
      </c>
      <c r="AQ98" t="s">
        <v>490</v>
      </c>
      <c r="AR98" t="s">
        <v>489</v>
      </c>
      <c r="AS98" t="s">
        <v>490</v>
      </c>
      <c r="AT98" t="s">
        <v>490</v>
      </c>
      <c r="AU98" t="s">
        <v>489</v>
      </c>
      <c r="AV98" t="s">
        <v>489</v>
      </c>
      <c r="AW98" t="s">
        <v>490</v>
      </c>
      <c r="AX98" t="s">
        <v>489</v>
      </c>
      <c r="AY98" t="s">
        <v>489</v>
      </c>
      <c r="AZ98" t="s">
        <v>490</v>
      </c>
      <c r="BA98" t="s">
        <v>489</v>
      </c>
      <c r="BB98" t="s">
        <v>489</v>
      </c>
      <c r="BC98" t="s">
        <v>490</v>
      </c>
      <c r="BD98" t="s">
        <v>489</v>
      </c>
      <c r="BE98" t="s">
        <v>489</v>
      </c>
      <c r="BF98" t="s">
        <v>490</v>
      </c>
      <c r="BG98" t="s">
        <v>490</v>
      </c>
      <c r="BH98" t="s">
        <v>490</v>
      </c>
      <c r="BI98" t="s">
        <v>489</v>
      </c>
      <c r="BJ98" t="s">
        <v>489</v>
      </c>
      <c r="BK98" t="s">
        <v>489</v>
      </c>
      <c r="BL98" t="s">
        <v>490</v>
      </c>
      <c r="BM98" t="s">
        <v>489</v>
      </c>
      <c r="BN98" t="s">
        <v>489</v>
      </c>
      <c r="BO98" t="s">
        <v>490</v>
      </c>
      <c r="BP98" t="s">
        <v>489</v>
      </c>
      <c r="BQ98" t="s">
        <v>489</v>
      </c>
      <c r="BR98" t="s">
        <v>490</v>
      </c>
      <c r="BS98" t="s">
        <v>489</v>
      </c>
      <c r="BT98" t="s">
        <v>489</v>
      </c>
      <c r="BU98" t="s">
        <v>490</v>
      </c>
      <c r="BV98" t="s">
        <v>489</v>
      </c>
      <c r="BW98" t="s">
        <v>489</v>
      </c>
      <c r="BX98" t="s">
        <v>490</v>
      </c>
      <c r="BY98" t="s">
        <v>489</v>
      </c>
      <c r="BZ98" t="s">
        <v>489</v>
      </c>
      <c r="CA98" t="s">
        <v>490</v>
      </c>
      <c r="DI98" t="s">
        <v>490</v>
      </c>
      <c r="DJ98" t="s">
        <v>490</v>
      </c>
      <c r="DK98" t="s">
        <v>489</v>
      </c>
      <c r="DL98" t="s">
        <v>489</v>
      </c>
      <c r="DM98" t="s">
        <v>490</v>
      </c>
      <c r="DN98" t="s">
        <v>490</v>
      </c>
      <c r="DO98" t="s">
        <v>490</v>
      </c>
      <c r="DP98" t="s">
        <v>490</v>
      </c>
      <c r="DQ98" t="s">
        <v>489</v>
      </c>
      <c r="DR98" t="s">
        <v>489</v>
      </c>
      <c r="DS98" t="s">
        <v>489</v>
      </c>
      <c r="DT98" t="s">
        <v>490</v>
      </c>
      <c r="DU98" t="s">
        <v>489</v>
      </c>
      <c r="DV98" t="s">
        <v>490</v>
      </c>
      <c r="DW98" t="s">
        <v>490</v>
      </c>
      <c r="DX98" t="s">
        <v>490</v>
      </c>
      <c r="DY98" t="s">
        <v>490</v>
      </c>
      <c r="DZ98" t="s">
        <v>489</v>
      </c>
      <c r="EY98">
        <v>90</v>
      </c>
      <c r="EZ98">
        <v>5</v>
      </c>
      <c r="FA98">
        <v>10</v>
      </c>
      <c r="FB98" t="s">
        <v>543</v>
      </c>
      <c r="OH98" s="15">
        <v>9</v>
      </c>
      <c r="OI98" s="15">
        <v>8</v>
      </c>
      <c r="OJ98" s="15">
        <v>9</v>
      </c>
      <c r="OK98" s="15">
        <v>7</v>
      </c>
      <c r="OL98" s="15">
        <v>7</v>
      </c>
      <c r="OM98" s="15">
        <v>9</v>
      </c>
      <c r="ON98" s="15">
        <v>6</v>
      </c>
      <c r="OO98" s="15">
        <v>9</v>
      </c>
      <c r="OQ98" t="s">
        <v>487</v>
      </c>
      <c r="OR98" t="s">
        <v>487</v>
      </c>
      <c r="OS98" t="s">
        <v>489</v>
      </c>
      <c r="OT98" t="s">
        <v>490</v>
      </c>
      <c r="OU98" t="s">
        <v>489</v>
      </c>
      <c r="OV98" t="s">
        <v>489</v>
      </c>
      <c r="OW98" t="s">
        <v>490</v>
      </c>
      <c r="OY98">
        <v>0</v>
      </c>
      <c r="OZ98">
        <v>5</v>
      </c>
      <c r="PA98">
        <v>5</v>
      </c>
      <c r="PB98">
        <v>0</v>
      </c>
      <c r="PC98">
        <v>2</v>
      </c>
      <c r="PD98">
        <v>0</v>
      </c>
      <c r="PE98">
        <v>0</v>
      </c>
      <c r="PF98">
        <v>0</v>
      </c>
      <c r="PG98">
        <v>0</v>
      </c>
      <c r="PH98">
        <v>1</v>
      </c>
      <c r="PI98">
        <v>1</v>
      </c>
      <c r="PJ98">
        <v>15</v>
      </c>
      <c r="PK98">
        <v>15</v>
      </c>
      <c r="PL98">
        <v>0</v>
      </c>
      <c r="PM98">
        <v>5</v>
      </c>
      <c r="PN98">
        <v>0</v>
      </c>
      <c r="PO98">
        <v>1</v>
      </c>
      <c r="PP98">
        <v>0</v>
      </c>
      <c r="PQ98">
        <v>0</v>
      </c>
      <c r="PR98">
        <v>1</v>
      </c>
      <c r="PS98" t="s">
        <v>571</v>
      </c>
      <c r="PT98" t="s">
        <v>487</v>
      </c>
      <c r="PU98" t="s">
        <v>497</v>
      </c>
      <c r="PV98">
        <v>220000</v>
      </c>
      <c r="PW98">
        <v>30000</v>
      </c>
      <c r="PX98">
        <v>250000</v>
      </c>
      <c r="PY98" t="s">
        <v>493</v>
      </c>
      <c r="PZ98" t="s">
        <v>493</v>
      </c>
      <c r="QA98">
        <v>50</v>
      </c>
      <c r="QB98">
        <v>50</v>
      </c>
      <c r="QC98">
        <v>50</v>
      </c>
      <c r="QD98">
        <v>50</v>
      </c>
      <c r="QE98" t="s">
        <v>508</v>
      </c>
      <c r="QZ98">
        <v>3</v>
      </c>
      <c r="RA98">
        <v>0</v>
      </c>
      <c r="RB98" t="s">
        <v>489</v>
      </c>
      <c r="RC98" t="s">
        <v>490</v>
      </c>
      <c r="RD98" t="s">
        <v>489</v>
      </c>
      <c r="RE98" t="s">
        <v>489</v>
      </c>
      <c r="RF98" t="s">
        <v>489</v>
      </c>
      <c r="RG98" t="s">
        <v>489</v>
      </c>
      <c r="RH98" t="s">
        <v>489</v>
      </c>
      <c r="RI98" t="s">
        <v>490</v>
      </c>
      <c r="RL98" t="s">
        <v>572</v>
      </c>
      <c r="RQ98" t="s">
        <v>573</v>
      </c>
      <c r="RR98" t="s">
        <v>574</v>
      </c>
    </row>
    <row r="99" spans="1:486">
      <c r="A99">
        <v>12048</v>
      </c>
      <c r="B99" t="s">
        <v>506</v>
      </c>
      <c r="C99" t="s">
        <v>974</v>
      </c>
      <c r="D99" t="s">
        <v>507</v>
      </c>
      <c r="E99" t="s">
        <v>500</v>
      </c>
      <c r="F99" t="s">
        <v>496</v>
      </c>
      <c r="G99">
        <v>8.8000000000000007</v>
      </c>
      <c r="H99" t="s">
        <v>487</v>
      </c>
      <c r="I99" t="s">
        <v>487</v>
      </c>
      <c r="J99" t="s">
        <v>487</v>
      </c>
      <c r="K99" t="s">
        <v>487</v>
      </c>
      <c r="L99" t="s">
        <v>489</v>
      </c>
      <c r="M99" t="s">
        <v>489</v>
      </c>
      <c r="N99" t="s">
        <v>489</v>
      </c>
      <c r="O99" t="s">
        <v>489</v>
      </c>
      <c r="P99" t="s">
        <v>490</v>
      </c>
      <c r="Q99" t="s">
        <v>489</v>
      </c>
      <c r="R99" t="s">
        <v>489</v>
      </c>
      <c r="S99" t="s">
        <v>489</v>
      </c>
      <c r="T99" t="s">
        <v>489</v>
      </c>
      <c r="U99" t="s">
        <v>490</v>
      </c>
      <c r="V99" t="s">
        <v>490</v>
      </c>
      <c r="W99" t="s">
        <v>489</v>
      </c>
      <c r="X99" t="s">
        <v>490</v>
      </c>
      <c r="Y99" t="s">
        <v>490</v>
      </c>
      <c r="Z99" t="s">
        <v>490</v>
      </c>
      <c r="AA99" t="s">
        <v>490</v>
      </c>
      <c r="AB99" t="s">
        <v>489</v>
      </c>
      <c r="AC99" t="s">
        <v>489</v>
      </c>
      <c r="AD99" t="s">
        <v>489</v>
      </c>
      <c r="AE99" t="s">
        <v>490</v>
      </c>
      <c r="AF99" t="s">
        <v>489</v>
      </c>
      <c r="AG99" t="s">
        <v>489</v>
      </c>
      <c r="AH99" t="s">
        <v>490</v>
      </c>
      <c r="AI99" t="s">
        <v>489</v>
      </c>
      <c r="AJ99" t="s">
        <v>489</v>
      </c>
      <c r="AK99" t="s">
        <v>490</v>
      </c>
      <c r="AL99" t="s">
        <v>489</v>
      </c>
      <c r="AM99" t="s">
        <v>490</v>
      </c>
      <c r="AN99" t="s">
        <v>490</v>
      </c>
      <c r="AO99" t="s">
        <v>489</v>
      </c>
      <c r="AP99" t="s">
        <v>489</v>
      </c>
      <c r="AQ99" t="s">
        <v>490</v>
      </c>
      <c r="AR99" t="s">
        <v>489</v>
      </c>
      <c r="AS99" t="s">
        <v>489</v>
      </c>
      <c r="AT99" t="s">
        <v>490</v>
      </c>
      <c r="AU99" t="s">
        <v>489</v>
      </c>
      <c r="AV99" t="s">
        <v>489</v>
      </c>
      <c r="AW99" t="s">
        <v>490</v>
      </c>
      <c r="AX99" t="s">
        <v>489</v>
      </c>
      <c r="AY99" t="s">
        <v>489</v>
      </c>
      <c r="AZ99" t="s">
        <v>490</v>
      </c>
      <c r="BA99" t="s">
        <v>489</v>
      </c>
      <c r="BB99" t="s">
        <v>489</v>
      </c>
      <c r="BC99" t="s">
        <v>490</v>
      </c>
      <c r="BD99" t="s">
        <v>489</v>
      </c>
      <c r="BE99" t="s">
        <v>489</v>
      </c>
      <c r="BF99" t="s">
        <v>490</v>
      </c>
      <c r="BG99" t="s">
        <v>489</v>
      </c>
      <c r="BH99" t="s">
        <v>490</v>
      </c>
      <c r="BI99" t="s">
        <v>490</v>
      </c>
      <c r="BJ99" t="s">
        <v>489</v>
      </c>
      <c r="BK99" t="s">
        <v>489</v>
      </c>
      <c r="BL99" t="s">
        <v>490</v>
      </c>
      <c r="BM99" t="s">
        <v>489</v>
      </c>
      <c r="BN99" t="s">
        <v>489</v>
      </c>
      <c r="BO99" t="s">
        <v>490</v>
      </c>
      <c r="BP99" t="s">
        <v>489</v>
      </c>
      <c r="BQ99" t="s">
        <v>490</v>
      </c>
      <c r="BR99" t="s">
        <v>490</v>
      </c>
      <c r="BS99" t="s">
        <v>489</v>
      </c>
      <c r="BT99" t="s">
        <v>489</v>
      </c>
      <c r="BU99" t="s">
        <v>490</v>
      </c>
      <c r="BV99" t="s">
        <v>489</v>
      </c>
      <c r="BW99" t="s">
        <v>489</v>
      </c>
      <c r="BX99" t="s">
        <v>490</v>
      </c>
      <c r="BY99" t="s">
        <v>489</v>
      </c>
      <c r="BZ99" t="s">
        <v>489</v>
      </c>
      <c r="CA99" t="s">
        <v>490</v>
      </c>
      <c r="CB99" t="s">
        <v>490</v>
      </c>
      <c r="CC99" t="s">
        <v>490</v>
      </c>
      <c r="CD99" t="s">
        <v>489</v>
      </c>
      <c r="CE99" t="s">
        <v>490</v>
      </c>
      <c r="CF99" t="s">
        <v>490</v>
      </c>
      <c r="CG99" t="s">
        <v>489</v>
      </c>
      <c r="CH99" t="s">
        <v>490</v>
      </c>
      <c r="CI99" t="s">
        <v>490</v>
      </c>
      <c r="CJ99" t="s">
        <v>489</v>
      </c>
      <c r="CK99" t="s">
        <v>490</v>
      </c>
      <c r="CL99" t="s">
        <v>490</v>
      </c>
      <c r="CM99" t="s">
        <v>489</v>
      </c>
      <c r="CN99" t="s">
        <v>490</v>
      </c>
      <c r="CO99" t="s">
        <v>490</v>
      </c>
      <c r="CP99" t="s">
        <v>489</v>
      </c>
      <c r="CW99" t="s">
        <v>490</v>
      </c>
      <c r="CX99" t="s">
        <v>490</v>
      </c>
      <c r="CY99" t="s">
        <v>489</v>
      </c>
      <c r="CZ99" t="s">
        <v>490</v>
      </c>
      <c r="DA99" t="s">
        <v>490</v>
      </c>
      <c r="DB99" t="s">
        <v>489</v>
      </c>
      <c r="DC99" t="s">
        <v>490</v>
      </c>
      <c r="DD99" t="s">
        <v>490</v>
      </c>
      <c r="DE99" t="s">
        <v>489</v>
      </c>
      <c r="DF99" t="s">
        <v>490</v>
      </c>
      <c r="DG99" t="s">
        <v>490</v>
      </c>
      <c r="DH99" t="s">
        <v>489</v>
      </c>
      <c r="DI99" t="s">
        <v>489</v>
      </c>
      <c r="DJ99" t="s">
        <v>489</v>
      </c>
      <c r="DK99" t="s">
        <v>490</v>
      </c>
      <c r="DL99" t="s">
        <v>489</v>
      </c>
      <c r="DM99" t="s">
        <v>489</v>
      </c>
      <c r="DN99" t="s">
        <v>490</v>
      </c>
      <c r="DO99" t="s">
        <v>490</v>
      </c>
      <c r="DP99" t="s">
        <v>490</v>
      </c>
      <c r="DQ99" t="s">
        <v>489</v>
      </c>
      <c r="DR99" t="s">
        <v>489</v>
      </c>
      <c r="DS99" t="s">
        <v>489</v>
      </c>
      <c r="DT99" t="s">
        <v>490</v>
      </c>
      <c r="DU99" t="s">
        <v>489</v>
      </c>
      <c r="DV99" t="s">
        <v>489</v>
      </c>
      <c r="DW99" t="s">
        <v>490</v>
      </c>
      <c r="DX99" t="s">
        <v>490</v>
      </c>
      <c r="DY99" t="s">
        <v>490</v>
      </c>
      <c r="DZ99" t="s">
        <v>489</v>
      </c>
      <c r="EA99" t="s">
        <v>490</v>
      </c>
      <c r="EB99" t="s">
        <v>489</v>
      </c>
      <c r="EC99" t="s">
        <v>490</v>
      </c>
      <c r="ED99" t="s">
        <v>490</v>
      </c>
      <c r="EE99" t="s">
        <v>489</v>
      </c>
      <c r="EF99" t="s">
        <v>490</v>
      </c>
      <c r="EG99" t="s">
        <v>490</v>
      </c>
      <c r="EH99" t="s">
        <v>490</v>
      </c>
      <c r="EI99" t="s">
        <v>489</v>
      </c>
      <c r="EJ99" t="s">
        <v>490</v>
      </c>
      <c r="EK99" t="s">
        <v>489</v>
      </c>
      <c r="EL99" t="s">
        <v>490</v>
      </c>
      <c r="EM99" t="s">
        <v>490</v>
      </c>
      <c r="EN99" t="s">
        <v>489</v>
      </c>
      <c r="EO99" t="s">
        <v>490</v>
      </c>
      <c r="EP99" t="s">
        <v>490</v>
      </c>
      <c r="EQ99" t="s">
        <v>489</v>
      </c>
      <c r="ER99" t="s">
        <v>490</v>
      </c>
      <c r="ES99" t="s">
        <v>490</v>
      </c>
      <c r="ET99" t="s">
        <v>489</v>
      </c>
      <c r="EU99" t="s">
        <v>490</v>
      </c>
      <c r="EV99" t="s">
        <v>490</v>
      </c>
      <c r="EW99" t="s">
        <v>489</v>
      </c>
      <c r="EX99" t="s">
        <v>490</v>
      </c>
      <c r="EY99">
        <v>80</v>
      </c>
      <c r="EZ99">
        <v>8</v>
      </c>
      <c r="FA99">
        <v>12</v>
      </c>
      <c r="FB99" t="s">
        <v>543</v>
      </c>
      <c r="OH99" s="15">
        <v>10</v>
      </c>
      <c r="OI99" s="15">
        <v>10</v>
      </c>
      <c r="OJ99" s="15">
        <v>8</v>
      </c>
      <c r="OK99" s="15">
        <v>7</v>
      </c>
      <c r="OL99" s="15">
        <v>6</v>
      </c>
      <c r="OM99" s="15">
        <v>8</v>
      </c>
      <c r="ON99" s="15">
        <v>3</v>
      </c>
      <c r="OO99" s="15">
        <v>3</v>
      </c>
      <c r="OQ99" t="s">
        <v>488</v>
      </c>
      <c r="OR99" t="s">
        <v>487</v>
      </c>
      <c r="OS99" t="s">
        <v>489</v>
      </c>
      <c r="OT99" t="s">
        <v>490</v>
      </c>
      <c r="OU99" t="s">
        <v>489</v>
      </c>
      <c r="OV99" t="s">
        <v>490</v>
      </c>
      <c r="OW99" t="s">
        <v>490</v>
      </c>
      <c r="OY99">
        <v>15</v>
      </c>
      <c r="OZ99">
        <v>12</v>
      </c>
      <c r="PA99">
        <v>2</v>
      </c>
      <c r="PB99">
        <v>2</v>
      </c>
      <c r="PC99">
        <v>2</v>
      </c>
      <c r="PD99">
        <v>0</v>
      </c>
      <c r="PE99">
        <v>0</v>
      </c>
      <c r="PF99">
        <v>0</v>
      </c>
      <c r="PG99">
        <v>0</v>
      </c>
      <c r="PH99">
        <v>0</v>
      </c>
      <c r="PI99">
        <v>18</v>
      </c>
      <c r="PJ99">
        <v>15</v>
      </c>
      <c r="PK99">
        <v>5</v>
      </c>
      <c r="PL99">
        <v>5</v>
      </c>
      <c r="PM99">
        <v>5</v>
      </c>
      <c r="PN99">
        <v>0</v>
      </c>
      <c r="PO99">
        <v>0</v>
      </c>
      <c r="PP99">
        <v>0</v>
      </c>
      <c r="PQ99">
        <v>0</v>
      </c>
      <c r="PR99">
        <v>0</v>
      </c>
      <c r="PT99" t="s">
        <v>488</v>
      </c>
      <c r="PU99" t="s">
        <v>497</v>
      </c>
      <c r="PV99">
        <v>50000</v>
      </c>
      <c r="PW99">
        <v>10000</v>
      </c>
      <c r="PX99">
        <v>60000</v>
      </c>
      <c r="PY99" t="s">
        <v>493</v>
      </c>
      <c r="PZ99" t="s">
        <v>493</v>
      </c>
      <c r="QA99">
        <v>20</v>
      </c>
      <c r="QB99">
        <v>80</v>
      </c>
      <c r="QC99">
        <v>80</v>
      </c>
      <c r="QD99">
        <v>20</v>
      </c>
      <c r="QE99" t="s">
        <v>494</v>
      </c>
      <c r="QF99">
        <v>5</v>
      </c>
      <c r="QG99">
        <v>4</v>
      </c>
      <c r="QH99">
        <v>4</v>
      </c>
      <c r="QI99">
        <v>4</v>
      </c>
      <c r="QJ99">
        <v>55</v>
      </c>
      <c r="QK99">
        <v>1</v>
      </c>
      <c r="QL99">
        <v>5</v>
      </c>
      <c r="QM99">
        <v>2</v>
      </c>
      <c r="QN99">
        <v>20</v>
      </c>
      <c r="QP99">
        <v>10</v>
      </c>
      <c r="QQ99">
        <v>15</v>
      </c>
      <c r="QR99">
        <v>5</v>
      </c>
      <c r="QS99">
        <v>8</v>
      </c>
      <c r="QT99">
        <v>10</v>
      </c>
      <c r="QU99">
        <v>25</v>
      </c>
      <c r="QV99">
        <v>5</v>
      </c>
      <c r="QW99">
        <v>20</v>
      </c>
      <c r="QX99">
        <v>2</v>
      </c>
      <c r="QZ99">
        <v>1.5</v>
      </c>
      <c r="RA99">
        <v>15</v>
      </c>
      <c r="RB99" t="s">
        <v>489</v>
      </c>
      <c r="RC99" t="s">
        <v>490</v>
      </c>
      <c r="RD99" t="s">
        <v>490</v>
      </c>
      <c r="RE99" t="s">
        <v>489</v>
      </c>
      <c r="RF99" t="s">
        <v>490</v>
      </c>
      <c r="RG99" t="s">
        <v>490</v>
      </c>
      <c r="RH99" t="s">
        <v>490</v>
      </c>
      <c r="RI99" t="s">
        <v>490</v>
      </c>
      <c r="RN99" t="s">
        <v>577</v>
      </c>
      <c r="RO99" t="s">
        <v>578</v>
      </c>
    </row>
    <row r="100" spans="1:486">
      <c r="A100">
        <v>1003517</v>
      </c>
      <c r="B100" t="s">
        <v>506</v>
      </c>
      <c r="C100" t="s">
        <v>974</v>
      </c>
      <c r="D100" t="s">
        <v>507</v>
      </c>
      <c r="E100" t="s">
        <v>500</v>
      </c>
      <c r="F100" t="s">
        <v>505</v>
      </c>
      <c r="G100">
        <v>5.49</v>
      </c>
      <c r="H100" t="s">
        <v>487</v>
      </c>
      <c r="I100" t="s">
        <v>487</v>
      </c>
      <c r="J100" t="s">
        <v>487</v>
      </c>
      <c r="K100" t="s">
        <v>487</v>
      </c>
      <c r="L100" t="s">
        <v>489</v>
      </c>
      <c r="M100" t="s">
        <v>489</v>
      </c>
      <c r="N100" t="s">
        <v>489</v>
      </c>
      <c r="O100" t="s">
        <v>490</v>
      </c>
      <c r="P100" t="s">
        <v>490</v>
      </c>
      <c r="Q100" t="s">
        <v>490</v>
      </c>
      <c r="R100" t="s">
        <v>490</v>
      </c>
      <c r="S100" t="s">
        <v>489</v>
      </c>
      <c r="T100" t="s">
        <v>489</v>
      </c>
      <c r="U100" t="s">
        <v>490</v>
      </c>
      <c r="V100" t="s">
        <v>490</v>
      </c>
      <c r="W100" t="s">
        <v>489</v>
      </c>
      <c r="X100" t="s">
        <v>490</v>
      </c>
      <c r="Y100" t="s">
        <v>490</v>
      </c>
      <c r="Z100" t="s">
        <v>490</v>
      </c>
      <c r="AA100" t="s">
        <v>490</v>
      </c>
      <c r="AB100" t="s">
        <v>489</v>
      </c>
      <c r="AC100" t="s">
        <v>489</v>
      </c>
      <c r="AD100" t="s">
        <v>489</v>
      </c>
      <c r="AE100" t="s">
        <v>490</v>
      </c>
      <c r="AF100" t="s">
        <v>490</v>
      </c>
      <c r="AG100" t="s">
        <v>490</v>
      </c>
      <c r="AH100" t="s">
        <v>489</v>
      </c>
      <c r="AI100" t="s">
        <v>489</v>
      </c>
      <c r="AJ100" t="s">
        <v>490</v>
      </c>
      <c r="AK100" t="s">
        <v>490</v>
      </c>
      <c r="AL100" t="s">
        <v>489</v>
      </c>
      <c r="AM100" t="s">
        <v>490</v>
      </c>
      <c r="AN100" t="s">
        <v>490</v>
      </c>
      <c r="AO100" t="s">
        <v>489</v>
      </c>
      <c r="AP100" t="s">
        <v>490</v>
      </c>
      <c r="AQ100" t="s">
        <v>490</v>
      </c>
      <c r="AR100" t="s">
        <v>489</v>
      </c>
      <c r="AS100" t="s">
        <v>490</v>
      </c>
      <c r="AT100" t="s">
        <v>490</v>
      </c>
      <c r="AU100" t="s">
        <v>489</v>
      </c>
      <c r="AV100" t="s">
        <v>490</v>
      </c>
      <c r="AW100" t="s">
        <v>490</v>
      </c>
      <c r="AX100" t="s">
        <v>489</v>
      </c>
      <c r="AY100" t="s">
        <v>489</v>
      </c>
      <c r="AZ100" t="s">
        <v>490</v>
      </c>
      <c r="BA100" t="s">
        <v>489</v>
      </c>
      <c r="BB100" t="s">
        <v>489</v>
      </c>
      <c r="BC100" t="s">
        <v>490</v>
      </c>
      <c r="BD100" t="s">
        <v>489</v>
      </c>
      <c r="BE100" t="s">
        <v>489</v>
      </c>
      <c r="BF100" t="s">
        <v>490</v>
      </c>
      <c r="BG100" t="s">
        <v>490</v>
      </c>
      <c r="BH100" t="s">
        <v>490</v>
      </c>
      <c r="BI100" t="s">
        <v>489</v>
      </c>
      <c r="BJ100" t="s">
        <v>489</v>
      </c>
      <c r="BK100" t="s">
        <v>489</v>
      </c>
      <c r="BL100" t="s">
        <v>490</v>
      </c>
      <c r="BM100" t="s">
        <v>489</v>
      </c>
      <c r="BN100" t="s">
        <v>489</v>
      </c>
      <c r="BO100" t="s">
        <v>490</v>
      </c>
      <c r="BP100" t="s">
        <v>490</v>
      </c>
      <c r="BQ100" t="s">
        <v>490</v>
      </c>
      <c r="BR100" t="s">
        <v>489</v>
      </c>
      <c r="BS100" t="s">
        <v>489</v>
      </c>
      <c r="BT100" t="s">
        <v>490</v>
      </c>
      <c r="BU100" t="s">
        <v>490</v>
      </c>
      <c r="BV100" t="s">
        <v>489</v>
      </c>
      <c r="BW100" t="s">
        <v>489</v>
      </c>
      <c r="BX100" t="s">
        <v>490</v>
      </c>
      <c r="BY100" t="s">
        <v>489</v>
      </c>
      <c r="BZ100" t="s">
        <v>489</v>
      </c>
      <c r="CA100" t="s">
        <v>490</v>
      </c>
      <c r="EA100" t="s">
        <v>490</v>
      </c>
      <c r="EB100" t="s">
        <v>489</v>
      </c>
      <c r="EC100" t="s">
        <v>490</v>
      </c>
      <c r="ED100" t="s">
        <v>490</v>
      </c>
      <c r="EE100" t="s">
        <v>490</v>
      </c>
      <c r="EF100" t="s">
        <v>489</v>
      </c>
      <c r="EG100" t="s">
        <v>490</v>
      </c>
      <c r="EH100" t="s">
        <v>490</v>
      </c>
      <c r="EI100" t="s">
        <v>489</v>
      </c>
      <c r="EJ100" t="s">
        <v>490</v>
      </c>
      <c r="EK100" t="s">
        <v>490</v>
      </c>
      <c r="EL100" t="s">
        <v>489</v>
      </c>
      <c r="EM100" t="s">
        <v>490</v>
      </c>
      <c r="EN100" t="s">
        <v>490</v>
      </c>
      <c r="EO100" t="s">
        <v>489</v>
      </c>
      <c r="EP100" t="s">
        <v>490</v>
      </c>
      <c r="EQ100" t="s">
        <v>489</v>
      </c>
      <c r="ER100" t="s">
        <v>490</v>
      </c>
      <c r="ES100" t="s">
        <v>490</v>
      </c>
      <c r="ET100" t="s">
        <v>489</v>
      </c>
      <c r="EU100" t="s">
        <v>490</v>
      </c>
      <c r="EV100" t="s">
        <v>490</v>
      </c>
      <c r="EW100" t="s">
        <v>490</v>
      </c>
      <c r="EX100" t="s">
        <v>489</v>
      </c>
      <c r="EY100">
        <v>70</v>
      </c>
      <c r="EZ100">
        <v>5</v>
      </c>
      <c r="FA100">
        <v>35</v>
      </c>
      <c r="FB100" t="s">
        <v>543</v>
      </c>
      <c r="OH100" s="15">
        <v>10</v>
      </c>
      <c r="OI100" s="15">
        <v>10</v>
      </c>
      <c r="OJ100" s="15">
        <v>10</v>
      </c>
      <c r="OK100" s="15">
        <v>10</v>
      </c>
      <c r="OL100" s="15">
        <v>10</v>
      </c>
      <c r="OM100" s="15">
        <v>10</v>
      </c>
      <c r="ON100" s="15">
        <v>1</v>
      </c>
      <c r="OO100" s="15">
        <v>10</v>
      </c>
      <c r="OQ100" t="s">
        <v>487</v>
      </c>
      <c r="OR100" t="s">
        <v>487</v>
      </c>
      <c r="OS100" t="s">
        <v>489</v>
      </c>
      <c r="OT100" t="s">
        <v>490</v>
      </c>
      <c r="OU100" t="s">
        <v>489</v>
      </c>
      <c r="OV100" t="s">
        <v>489</v>
      </c>
      <c r="OW100" t="s">
        <v>490</v>
      </c>
      <c r="OY100">
        <v>10</v>
      </c>
      <c r="OZ100">
        <v>5</v>
      </c>
      <c r="PA100">
        <v>0</v>
      </c>
      <c r="PB100">
        <v>0</v>
      </c>
      <c r="PC100">
        <v>0</v>
      </c>
      <c r="PD100">
        <v>0</v>
      </c>
      <c r="PE100">
        <v>0</v>
      </c>
      <c r="PF100">
        <v>0</v>
      </c>
      <c r="PG100">
        <v>0</v>
      </c>
      <c r="PH100">
        <v>0</v>
      </c>
      <c r="PI100">
        <v>0</v>
      </c>
      <c r="PJ100">
        <v>100</v>
      </c>
      <c r="PK100">
        <v>0</v>
      </c>
      <c r="PL100">
        <v>0</v>
      </c>
      <c r="PM100">
        <v>1</v>
      </c>
      <c r="PN100">
        <v>0</v>
      </c>
      <c r="PO100">
        <v>1</v>
      </c>
      <c r="PP100">
        <v>1</v>
      </c>
      <c r="PQ100">
        <v>1</v>
      </c>
      <c r="PR100">
        <v>0</v>
      </c>
      <c r="PT100" t="s">
        <v>487</v>
      </c>
      <c r="PU100" t="s">
        <v>497</v>
      </c>
      <c r="PV100">
        <v>200000</v>
      </c>
      <c r="PW100">
        <v>70000</v>
      </c>
      <c r="PX100">
        <v>270000</v>
      </c>
      <c r="PY100" t="s">
        <v>493</v>
      </c>
      <c r="PZ100" t="s">
        <v>493</v>
      </c>
      <c r="QA100">
        <v>10</v>
      </c>
      <c r="QB100">
        <v>90</v>
      </c>
      <c r="QC100">
        <v>90</v>
      </c>
      <c r="QD100">
        <v>10</v>
      </c>
      <c r="QE100" t="s">
        <v>508</v>
      </c>
      <c r="QZ100">
        <v>3.5</v>
      </c>
      <c r="RA100">
        <v>0.2</v>
      </c>
      <c r="RB100" t="s">
        <v>489</v>
      </c>
      <c r="RC100" t="s">
        <v>490</v>
      </c>
      <c r="RD100" t="s">
        <v>490</v>
      </c>
      <c r="RE100" t="s">
        <v>489</v>
      </c>
      <c r="RF100" t="s">
        <v>490</v>
      </c>
      <c r="RG100" t="s">
        <v>490</v>
      </c>
      <c r="RH100" t="s">
        <v>490</v>
      </c>
      <c r="RI100" t="s">
        <v>490</v>
      </c>
      <c r="RL100" t="s">
        <v>583</v>
      </c>
    </row>
    <row r="101" spans="1:486">
      <c r="A101">
        <v>12132</v>
      </c>
      <c r="B101" t="s">
        <v>506</v>
      </c>
      <c r="C101" t="s">
        <v>974</v>
      </c>
      <c r="D101" t="s">
        <v>507</v>
      </c>
      <c r="E101" t="s">
        <v>500</v>
      </c>
      <c r="F101" t="s">
        <v>509</v>
      </c>
      <c r="G101">
        <v>15.5</v>
      </c>
      <c r="H101" t="s">
        <v>487</v>
      </c>
      <c r="I101" t="s">
        <v>487</v>
      </c>
      <c r="J101" t="s">
        <v>488</v>
      </c>
      <c r="K101" t="s">
        <v>487</v>
      </c>
      <c r="L101" t="s">
        <v>489</v>
      </c>
      <c r="M101" t="s">
        <v>489</v>
      </c>
      <c r="N101" t="s">
        <v>489</v>
      </c>
      <c r="O101" t="s">
        <v>490</v>
      </c>
      <c r="P101" t="s">
        <v>490</v>
      </c>
      <c r="Q101" t="s">
        <v>490</v>
      </c>
      <c r="R101" t="s">
        <v>489</v>
      </c>
      <c r="S101" t="s">
        <v>489</v>
      </c>
      <c r="T101" t="s">
        <v>489</v>
      </c>
      <c r="U101" t="s">
        <v>490</v>
      </c>
      <c r="V101" t="s">
        <v>490</v>
      </c>
      <c r="W101" t="s">
        <v>489</v>
      </c>
      <c r="X101" t="s">
        <v>490</v>
      </c>
      <c r="Y101" t="s">
        <v>490</v>
      </c>
      <c r="Z101" t="s">
        <v>490</v>
      </c>
      <c r="AA101" t="s">
        <v>490</v>
      </c>
      <c r="AB101" t="s">
        <v>489</v>
      </c>
      <c r="AC101" t="s">
        <v>489</v>
      </c>
      <c r="AD101" t="s">
        <v>489</v>
      </c>
      <c r="AE101" t="s">
        <v>490</v>
      </c>
      <c r="AF101" t="s">
        <v>489</v>
      </c>
      <c r="AG101" t="s">
        <v>490</v>
      </c>
      <c r="AH101" t="s">
        <v>490</v>
      </c>
      <c r="AI101" t="s">
        <v>489</v>
      </c>
      <c r="AJ101" t="s">
        <v>490</v>
      </c>
      <c r="AK101" t="s">
        <v>490</v>
      </c>
      <c r="AL101" t="s">
        <v>489</v>
      </c>
      <c r="AM101" t="s">
        <v>489</v>
      </c>
      <c r="AN101" t="s">
        <v>490</v>
      </c>
      <c r="AO101" t="s">
        <v>489</v>
      </c>
      <c r="AP101" t="s">
        <v>489</v>
      </c>
      <c r="AQ101" t="s">
        <v>490</v>
      </c>
      <c r="AR101" t="s">
        <v>489</v>
      </c>
      <c r="AS101" t="s">
        <v>490</v>
      </c>
      <c r="AT101" t="s">
        <v>490</v>
      </c>
      <c r="AU101" t="s">
        <v>489</v>
      </c>
      <c r="AV101" t="s">
        <v>489</v>
      </c>
      <c r="AW101" t="s">
        <v>490</v>
      </c>
      <c r="AX101" t="s">
        <v>489</v>
      </c>
      <c r="AY101" t="s">
        <v>489</v>
      </c>
      <c r="AZ101" t="s">
        <v>490</v>
      </c>
      <c r="BA101" t="s">
        <v>489</v>
      </c>
      <c r="BB101" t="s">
        <v>489</v>
      </c>
      <c r="BC101" t="s">
        <v>490</v>
      </c>
      <c r="BD101" t="s">
        <v>489</v>
      </c>
      <c r="BE101" t="s">
        <v>489</v>
      </c>
      <c r="BF101" t="s">
        <v>490</v>
      </c>
      <c r="BG101" t="s">
        <v>490</v>
      </c>
      <c r="BH101" t="s">
        <v>490</v>
      </c>
      <c r="BI101" t="s">
        <v>489</v>
      </c>
      <c r="BJ101" t="s">
        <v>489</v>
      </c>
      <c r="BK101" t="s">
        <v>489</v>
      </c>
      <c r="BL101" t="s">
        <v>490</v>
      </c>
      <c r="BM101" t="s">
        <v>489</v>
      </c>
      <c r="BN101" t="s">
        <v>490</v>
      </c>
      <c r="BO101" t="s">
        <v>490</v>
      </c>
      <c r="BP101" t="s">
        <v>490</v>
      </c>
      <c r="BQ101" t="s">
        <v>490</v>
      </c>
      <c r="BR101" t="s">
        <v>489</v>
      </c>
      <c r="BS101" t="s">
        <v>489</v>
      </c>
      <c r="BT101" t="s">
        <v>489</v>
      </c>
      <c r="BU101" t="s">
        <v>490</v>
      </c>
      <c r="BV101" t="s">
        <v>489</v>
      </c>
      <c r="BW101" t="s">
        <v>489</v>
      </c>
      <c r="BX101" t="s">
        <v>490</v>
      </c>
      <c r="BY101" t="s">
        <v>489</v>
      </c>
      <c r="BZ101" t="s">
        <v>489</v>
      </c>
      <c r="CA101" t="s">
        <v>490</v>
      </c>
      <c r="DI101" t="s">
        <v>489</v>
      </c>
      <c r="DJ101" t="s">
        <v>490</v>
      </c>
      <c r="DK101" t="s">
        <v>490</v>
      </c>
      <c r="DL101" t="s">
        <v>490</v>
      </c>
      <c r="DM101" t="s">
        <v>489</v>
      </c>
      <c r="DN101" t="s">
        <v>490</v>
      </c>
      <c r="DO101" t="s">
        <v>490</v>
      </c>
      <c r="DP101" t="s">
        <v>490</v>
      </c>
      <c r="DQ101" t="s">
        <v>489</v>
      </c>
      <c r="DR101" t="s">
        <v>489</v>
      </c>
      <c r="DS101" t="s">
        <v>489</v>
      </c>
      <c r="DT101" t="s">
        <v>490</v>
      </c>
      <c r="DU101" t="s">
        <v>489</v>
      </c>
      <c r="DV101" t="s">
        <v>489</v>
      </c>
      <c r="DW101" t="s">
        <v>490</v>
      </c>
      <c r="DX101" t="s">
        <v>490</v>
      </c>
      <c r="DY101" t="s">
        <v>490</v>
      </c>
      <c r="DZ101" t="s">
        <v>489</v>
      </c>
      <c r="EA101" t="s">
        <v>490</v>
      </c>
      <c r="EB101" t="s">
        <v>489</v>
      </c>
      <c r="EC101" t="s">
        <v>490</v>
      </c>
      <c r="ED101" t="s">
        <v>490</v>
      </c>
      <c r="EE101" t="s">
        <v>490</v>
      </c>
      <c r="EF101" t="s">
        <v>489</v>
      </c>
      <c r="EG101" t="s">
        <v>490</v>
      </c>
      <c r="EH101" t="s">
        <v>490</v>
      </c>
      <c r="EI101" t="s">
        <v>489</v>
      </c>
      <c r="EJ101" t="s">
        <v>490</v>
      </c>
      <c r="EK101" t="s">
        <v>490</v>
      </c>
      <c r="EL101" t="s">
        <v>489</v>
      </c>
      <c r="EM101" t="s">
        <v>490</v>
      </c>
      <c r="EN101" t="s">
        <v>490</v>
      </c>
      <c r="EO101" t="s">
        <v>489</v>
      </c>
      <c r="EP101" t="s">
        <v>490</v>
      </c>
      <c r="EQ101" t="s">
        <v>490</v>
      </c>
      <c r="ER101" t="s">
        <v>489</v>
      </c>
      <c r="ES101" t="s">
        <v>490</v>
      </c>
      <c r="ET101" t="s">
        <v>490</v>
      </c>
      <c r="EU101" t="s">
        <v>489</v>
      </c>
      <c r="EV101" t="s">
        <v>490</v>
      </c>
      <c r="EW101" t="s">
        <v>490</v>
      </c>
      <c r="EX101" t="s">
        <v>489</v>
      </c>
      <c r="EY101">
        <v>90</v>
      </c>
      <c r="EZ101">
        <v>15</v>
      </c>
      <c r="FA101">
        <v>10</v>
      </c>
      <c r="FB101" t="s">
        <v>543</v>
      </c>
      <c r="OH101" s="15">
        <v>10</v>
      </c>
      <c r="OI101" s="15">
        <v>10</v>
      </c>
      <c r="OJ101" s="15">
        <v>10</v>
      </c>
      <c r="OK101" s="15">
        <v>1</v>
      </c>
      <c r="OL101" s="15">
        <v>10</v>
      </c>
      <c r="OM101" s="15">
        <v>10</v>
      </c>
      <c r="ON101" s="15">
        <v>1</v>
      </c>
      <c r="OO101" s="15">
        <v>1</v>
      </c>
      <c r="OQ101" t="s">
        <v>488</v>
      </c>
      <c r="OR101" t="s">
        <v>487</v>
      </c>
      <c r="OS101" t="s">
        <v>489</v>
      </c>
      <c r="OT101" t="s">
        <v>489</v>
      </c>
      <c r="OU101" t="s">
        <v>490</v>
      </c>
      <c r="OV101" t="s">
        <v>490</v>
      </c>
      <c r="OW101" t="s">
        <v>490</v>
      </c>
      <c r="OY101">
        <v>15</v>
      </c>
      <c r="OZ101">
        <v>15</v>
      </c>
      <c r="PA101">
        <v>0</v>
      </c>
      <c r="PB101">
        <v>0</v>
      </c>
      <c r="PC101">
        <v>0</v>
      </c>
      <c r="PD101">
        <v>0</v>
      </c>
      <c r="PE101">
        <v>0</v>
      </c>
      <c r="PF101">
        <v>0</v>
      </c>
      <c r="PG101">
        <v>0</v>
      </c>
      <c r="PH101">
        <v>0</v>
      </c>
      <c r="PI101">
        <v>20</v>
      </c>
      <c r="PJ101">
        <v>20</v>
      </c>
      <c r="PK101">
        <v>0</v>
      </c>
      <c r="PL101">
        <v>0</v>
      </c>
      <c r="PM101">
        <v>0</v>
      </c>
      <c r="PN101">
        <v>0</v>
      </c>
      <c r="PO101">
        <v>0</v>
      </c>
      <c r="PP101">
        <v>0</v>
      </c>
      <c r="PQ101">
        <v>0</v>
      </c>
      <c r="PR101">
        <v>0</v>
      </c>
      <c r="PT101" t="s">
        <v>488</v>
      </c>
      <c r="PU101" t="s">
        <v>515</v>
      </c>
      <c r="PV101">
        <v>50000</v>
      </c>
      <c r="PW101">
        <v>200000</v>
      </c>
      <c r="PX101">
        <v>250000</v>
      </c>
      <c r="PY101" t="s">
        <v>493</v>
      </c>
      <c r="PZ101" t="s">
        <v>535</v>
      </c>
      <c r="QA101">
        <v>25</v>
      </c>
      <c r="QB101">
        <v>75</v>
      </c>
      <c r="QC101">
        <v>25</v>
      </c>
      <c r="QD101">
        <v>75</v>
      </c>
      <c r="QE101" t="s">
        <v>508</v>
      </c>
      <c r="QZ101">
        <v>10</v>
      </c>
      <c r="RA101">
        <v>1</v>
      </c>
      <c r="RB101" t="s">
        <v>489</v>
      </c>
      <c r="RC101" t="s">
        <v>490</v>
      </c>
      <c r="RD101" t="s">
        <v>489</v>
      </c>
      <c r="RE101" t="s">
        <v>489</v>
      </c>
      <c r="RF101" t="s">
        <v>490</v>
      </c>
      <c r="RG101" t="s">
        <v>490</v>
      </c>
      <c r="RH101" t="s">
        <v>490</v>
      </c>
      <c r="RI101" t="s">
        <v>490</v>
      </c>
    </row>
    <row r="102" spans="1:486">
      <c r="A102">
        <v>11682</v>
      </c>
      <c r="B102" t="s">
        <v>506</v>
      </c>
      <c r="C102" t="s">
        <v>974</v>
      </c>
      <c r="D102" t="s">
        <v>507</v>
      </c>
      <c r="E102" t="s">
        <v>500</v>
      </c>
      <c r="F102" t="s">
        <v>505</v>
      </c>
      <c r="G102">
        <v>3.5</v>
      </c>
      <c r="H102" t="s">
        <v>487</v>
      </c>
      <c r="I102" t="s">
        <v>487</v>
      </c>
      <c r="J102" t="s">
        <v>487</v>
      </c>
      <c r="K102" t="s">
        <v>487</v>
      </c>
      <c r="L102" t="s">
        <v>489</v>
      </c>
      <c r="M102" t="s">
        <v>489</v>
      </c>
      <c r="N102" t="s">
        <v>489</v>
      </c>
      <c r="O102" t="s">
        <v>489</v>
      </c>
      <c r="P102" t="s">
        <v>490</v>
      </c>
      <c r="Q102" t="s">
        <v>489</v>
      </c>
      <c r="R102" t="s">
        <v>489</v>
      </c>
      <c r="S102" t="s">
        <v>489</v>
      </c>
      <c r="T102" t="s">
        <v>489</v>
      </c>
      <c r="U102" t="s">
        <v>490</v>
      </c>
      <c r="V102" t="s">
        <v>490</v>
      </c>
      <c r="W102" t="s">
        <v>489</v>
      </c>
      <c r="X102" t="s">
        <v>490</v>
      </c>
      <c r="Y102" t="s">
        <v>490</v>
      </c>
      <c r="Z102" t="s">
        <v>490</v>
      </c>
      <c r="AA102" t="s">
        <v>489</v>
      </c>
      <c r="AB102" t="s">
        <v>490</v>
      </c>
      <c r="AC102" t="s">
        <v>490</v>
      </c>
      <c r="AD102" t="s">
        <v>490</v>
      </c>
      <c r="AE102" t="s">
        <v>489</v>
      </c>
      <c r="AF102" t="s">
        <v>490</v>
      </c>
      <c r="AG102" t="s">
        <v>490</v>
      </c>
      <c r="AH102" t="s">
        <v>489</v>
      </c>
      <c r="AI102" t="s">
        <v>489</v>
      </c>
      <c r="AJ102" t="s">
        <v>490</v>
      </c>
      <c r="AK102" t="s">
        <v>490</v>
      </c>
      <c r="AL102" t="s">
        <v>489</v>
      </c>
      <c r="AM102" t="s">
        <v>489</v>
      </c>
      <c r="AN102" t="s">
        <v>490</v>
      </c>
      <c r="AO102" t="s">
        <v>489</v>
      </c>
      <c r="AP102" t="s">
        <v>489</v>
      </c>
      <c r="AQ102" t="s">
        <v>490</v>
      </c>
      <c r="AR102" t="s">
        <v>489</v>
      </c>
      <c r="AS102" t="s">
        <v>490</v>
      </c>
      <c r="AT102" t="s">
        <v>490</v>
      </c>
      <c r="AU102" t="s">
        <v>489</v>
      </c>
      <c r="AV102" t="s">
        <v>490</v>
      </c>
      <c r="AW102" t="s">
        <v>490</v>
      </c>
      <c r="AX102" t="s">
        <v>489</v>
      </c>
      <c r="AY102" t="s">
        <v>489</v>
      </c>
      <c r="AZ102" t="s">
        <v>490</v>
      </c>
      <c r="BA102" t="s">
        <v>489</v>
      </c>
      <c r="BB102" t="s">
        <v>489</v>
      </c>
      <c r="BC102" t="s">
        <v>490</v>
      </c>
      <c r="BD102" t="s">
        <v>489</v>
      </c>
      <c r="BE102" t="s">
        <v>489</v>
      </c>
      <c r="BF102" t="s">
        <v>490</v>
      </c>
      <c r="BG102" t="s">
        <v>489</v>
      </c>
      <c r="BH102" t="s">
        <v>489</v>
      </c>
      <c r="BI102" t="s">
        <v>490</v>
      </c>
      <c r="BJ102" t="s">
        <v>489</v>
      </c>
      <c r="BK102" t="s">
        <v>489</v>
      </c>
      <c r="BL102" t="s">
        <v>490</v>
      </c>
      <c r="BM102" t="s">
        <v>490</v>
      </c>
      <c r="BN102" t="s">
        <v>490</v>
      </c>
      <c r="BO102" t="s">
        <v>489</v>
      </c>
      <c r="BP102" t="s">
        <v>490</v>
      </c>
      <c r="BQ102" t="s">
        <v>490</v>
      </c>
      <c r="BR102" t="s">
        <v>489</v>
      </c>
      <c r="BS102" t="s">
        <v>489</v>
      </c>
      <c r="BT102" t="s">
        <v>489</v>
      </c>
      <c r="BU102" t="s">
        <v>490</v>
      </c>
      <c r="BV102" t="s">
        <v>489</v>
      </c>
      <c r="BW102" t="s">
        <v>489</v>
      </c>
      <c r="BX102" t="s">
        <v>490</v>
      </c>
      <c r="BY102" t="s">
        <v>489</v>
      </c>
      <c r="BZ102" t="s">
        <v>490</v>
      </c>
      <c r="CA102" t="s">
        <v>490</v>
      </c>
      <c r="CB102" t="s">
        <v>489</v>
      </c>
      <c r="CC102" t="s">
        <v>490</v>
      </c>
      <c r="CD102" t="s">
        <v>490</v>
      </c>
      <c r="CE102" t="s">
        <v>489</v>
      </c>
      <c r="CF102" t="s">
        <v>490</v>
      </c>
      <c r="CG102" t="s">
        <v>490</v>
      </c>
      <c r="CH102" t="s">
        <v>489</v>
      </c>
      <c r="CI102" t="s">
        <v>490</v>
      </c>
      <c r="CJ102" t="s">
        <v>490</v>
      </c>
      <c r="CK102" t="s">
        <v>490</v>
      </c>
      <c r="CL102" t="s">
        <v>490</v>
      </c>
      <c r="CM102" t="s">
        <v>489</v>
      </c>
      <c r="CN102" t="s">
        <v>489</v>
      </c>
      <c r="CO102" t="s">
        <v>490</v>
      </c>
      <c r="CP102" t="s">
        <v>490</v>
      </c>
      <c r="CW102" t="s">
        <v>489</v>
      </c>
      <c r="CX102" t="s">
        <v>490</v>
      </c>
      <c r="CY102" t="s">
        <v>490</v>
      </c>
      <c r="CZ102" t="s">
        <v>489</v>
      </c>
      <c r="DA102" t="s">
        <v>490</v>
      </c>
      <c r="DB102" t="s">
        <v>490</v>
      </c>
      <c r="DC102" t="s">
        <v>490</v>
      </c>
      <c r="DD102" t="s">
        <v>490</v>
      </c>
      <c r="DE102" t="s">
        <v>489</v>
      </c>
      <c r="DF102" t="s">
        <v>489</v>
      </c>
      <c r="DG102" t="s">
        <v>490</v>
      </c>
      <c r="DH102" t="s">
        <v>490</v>
      </c>
      <c r="DI102" t="s">
        <v>489</v>
      </c>
      <c r="DJ102" t="s">
        <v>489</v>
      </c>
      <c r="DK102" t="s">
        <v>490</v>
      </c>
      <c r="DL102" t="s">
        <v>489</v>
      </c>
      <c r="DM102" t="s">
        <v>489</v>
      </c>
      <c r="DN102" t="s">
        <v>490</v>
      </c>
      <c r="DO102" t="s">
        <v>490</v>
      </c>
      <c r="DP102" t="s">
        <v>490</v>
      </c>
      <c r="DQ102" t="s">
        <v>489</v>
      </c>
      <c r="DR102" t="s">
        <v>489</v>
      </c>
      <c r="DS102" t="s">
        <v>489</v>
      </c>
      <c r="DT102" t="s">
        <v>490</v>
      </c>
      <c r="DU102" t="s">
        <v>489</v>
      </c>
      <c r="DV102" t="s">
        <v>489</v>
      </c>
      <c r="DW102" t="s">
        <v>490</v>
      </c>
      <c r="DX102" t="s">
        <v>489</v>
      </c>
      <c r="DY102" t="s">
        <v>489</v>
      </c>
      <c r="DZ102" t="s">
        <v>490</v>
      </c>
      <c r="EA102" t="s">
        <v>490</v>
      </c>
      <c r="EB102" t="s">
        <v>489</v>
      </c>
      <c r="EC102" t="s">
        <v>490</v>
      </c>
      <c r="ED102" t="s">
        <v>490</v>
      </c>
      <c r="EE102" t="s">
        <v>489</v>
      </c>
      <c r="EF102" t="s">
        <v>490</v>
      </c>
      <c r="EG102" t="s">
        <v>490</v>
      </c>
      <c r="EH102" t="s">
        <v>490</v>
      </c>
      <c r="EI102" t="s">
        <v>489</v>
      </c>
      <c r="EJ102" t="s">
        <v>490</v>
      </c>
      <c r="EK102" t="s">
        <v>489</v>
      </c>
      <c r="EL102" t="s">
        <v>490</v>
      </c>
      <c r="EM102" t="s">
        <v>490</v>
      </c>
      <c r="EN102" t="s">
        <v>490</v>
      </c>
      <c r="EO102" t="s">
        <v>489</v>
      </c>
      <c r="EP102" t="s">
        <v>490</v>
      </c>
      <c r="EQ102" t="s">
        <v>489</v>
      </c>
      <c r="ER102" t="s">
        <v>490</v>
      </c>
      <c r="ES102" t="s">
        <v>490</v>
      </c>
      <c r="ET102" t="s">
        <v>489</v>
      </c>
      <c r="EU102" t="s">
        <v>490</v>
      </c>
      <c r="EV102" t="s">
        <v>490</v>
      </c>
      <c r="EW102" t="s">
        <v>489</v>
      </c>
      <c r="EX102" t="s">
        <v>490</v>
      </c>
      <c r="EY102">
        <v>90</v>
      </c>
      <c r="EZ102">
        <v>75</v>
      </c>
      <c r="FA102">
        <v>25</v>
      </c>
      <c r="FB102" t="s">
        <v>543</v>
      </c>
      <c r="OH102" s="15">
        <v>10</v>
      </c>
      <c r="OI102" s="15">
        <v>9</v>
      </c>
      <c r="OJ102" s="15">
        <v>9</v>
      </c>
      <c r="OK102" s="15">
        <v>9</v>
      </c>
      <c r="OL102" s="15">
        <v>10</v>
      </c>
      <c r="OM102" s="15">
        <v>10</v>
      </c>
      <c r="ON102" s="15">
        <v>1</v>
      </c>
      <c r="OO102" s="15">
        <v>10</v>
      </c>
      <c r="OQ102" t="s">
        <v>487</v>
      </c>
      <c r="OR102" t="s">
        <v>487</v>
      </c>
      <c r="OS102" t="s">
        <v>489</v>
      </c>
      <c r="OT102" t="s">
        <v>490</v>
      </c>
      <c r="OU102" t="s">
        <v>490</v>
      </c>
      <c r="OV102" t="s">
        <v>490</v>
      </c>
      <c r="OW102" t="s">
        <v>490</v>
      </c>
      <c r="PT102" t="s">
        <v>488</v>
      </c>
      <c r="PU102" t="s">
        <v>497</v>
      </c>
      <c r="PV102">
        <v>0</v>
      </c>
      <c r="PW102">
        <v>0</v>
      </c>
      <c r="PX102">
        <v>0</v>
      </c>
      <c r="PY102" t="s">
        <v>510</v>
      </c>
      <c r="PZ102" t="s">
        <v>510</v>
      </c>
      <c r="QA102">
        <v>10</v>
      </c>
      <c r="QB102">
        <v>90</v>
      </c>
      <c r="QC102">
        <v>80</v>
      </c>
      <c r="QD102">
        <v>20</v>
      </c>
      <c r="QE102" t="s">
        <v>508</v>
      </c>
      <c r="QZ102">
        <v>1</v>
      </c>
      <c r="RA102">
        <v>0</v>
      </c>
      <c r="RB102" t="s">
        <v>489</v>
      </c>
      <c r="RC102" t="s">
        <v>490</v>
      </c>
      <c r="RD102" t="s">
        <v>490</v>
      </c>
      <c r="RE102" t="s">
        <v>490</v>
      </c>
      <c r="RF102" t="s">
        <v>490</v>
      </c>
      <c r="RG102" t="s">
        <v>490</v>
      </c>
      <c r="RH102" t="s">
        <v>490</v>
      </c>
      <c r="RI102" t="s">
        <v>490</v>
      </c>
      <c r="RL102" t="s">
        <v>585</v>
      </c>
    </row>
    <row r="103" spans="1:486">
      <c r="A103">
        <v>12165</v>
      </c>
      <c r="B103" t="s">
        <v>506</v>
      </c>
      <c r="C103" t="s">
        <v>974</v>
      </c>
      <c r="D103" t="s">
        <v>507</v>
      </c>
      <c r="E103" t="s">
        <v>500</v>
      </c>
      <c r="F103" t="s">
        <v>505</v>
      </c>
      <c r="G103">
        <v>3</v>
      </c>
      <c r="H103" t="s">
        <v>487</v>
      </c>
      <c r="I103" t="s">
        <v>487</v>
      </c>
      <c r="J103" t="s">
        <v>487</v>
      </c>
      <c r="K103" t="s">
        <v>487</v>
      </c>
      <c r="L103" t="s">
        <v>489</v>
      </c>
      <c r="M103" t="s">
        <v>489</v>
      </c>
      <c r="N103" t="s">
        <v>489</v>
      </c>
      <c r="O103" t="s">
        <v>490</v>
      </c>
      <c r="P103" t="s">
        <v>490</v>
      </c>
      <c r="Q103" t="s">
        <v>490</v>
      </c>
      <c r="R103" t="s">
        <v>489</v>
      </c>
      <c r="S103" t="s">
        <v>489</v>
      </c>
      <c r="T103" t="s">
        <v>489</v>
      </c>
      <c r="U103" t="s">
        <v>489</v>
      </c>
      <c r="V103" t="s">
        <v>490</v>
      </c>
      <c r="W103" t="s">
        <v>489</v>
      </c>
      <c r="X103" t="s">
        <v>490</v>
      </c>
      <c r="Y103" t="s">
        <v>490</v>
      </c>
      <c r="Z103" t="s">
        <v>490</v>
      </c>
      <c r="AA103" t="s">
        <v>490</v>
      </c>
      <c r="AB103" t="s">
        <v>489</v>
      </c>
      <c r="AC103" t="s">
        <v>489</v>
      </c>
      <c r="AD103" t="s">
        <v>490</v>
      </c>
      <c r="AE103" t="s">
        <v>490</v>
      </c>
      <c r="AF103" t="s">
        <v>490</v>
      </c>
      <c r="AG103" t="s">
        <v>490</v>
      </c>
      <c r="AH103" t="s">
        <v>489</v>
      </c>
      <c r="AI103" t="s">
        <v>490</v>
      </c>
      <c r="AJ103" t="s">
        <v>490</v>
      </c>
      <c r="AK103" t="s">
        <v>489</v>
      </c>
      <c r="AL103" t="s">
        <v>489</v>
      </c>
      <c r="AM103" t="s">
        <v>490</v>
      </c>
      <c r="AN103" t="s">
        <v>490</v>
      </c>
      <c r="AO103" t="s">
        <v>489</v>
      </c>
      <c r="AP103" t="s">
        <v>490</v>
      </c>
      <c r="AQ103" t="s">
        <v>490</v>
      </c>
      <c r="AR103" t="s">
        <v>489</v>
      </c>
      <c r="AS103" t="s">
        <v>490</v>
      </c>
      <c r="AT103" t="s">
        <v>490</v>
      </c>
      <c r="AU103" t="s">
        <v>489</v>
      </c>
      <c r="AV103" t="s">
        <v>490</v>
      </c>
      <c r="AW103" t="s">
        <v>490</v>
      </c>
      <c r="AX103" t="s">
        <v>490</v>
      </c>
      <c r="AY103" t="s">
        <v>490</v>
      </c>
      <c r="AZ103" t="s">
        <v>489</v>
      </c>
      <c r="BA103" t="s">
        <v>490</v>
      </c>
      <c r="BB103" t="s">
        <v>490</v>
      </c>
      <c r="BC103" t="s">
        <v>489</v>
      </c>
      <c r="BD103" t="s">
        <v>489</v>
      </c>
      <c r="BE103" t="s">
        <v>489</v>
      </c>
      <c r="BF103" t="s">
        <v>490</v>
      </c>
      <c r="BG103" t="s">
        <v>490</v>
      </c>
      <c r="BH103" t="s">
        <v>490</v>
      </c>
      <c r="BI103" t="s">
        <v>489</v>
      </c>
      <c r="BJ103" t="s">
        <v>489</v>
      </c>
      <c r="BK103" t="s">
        <v>489</v>
      </c>
      <c r="BL103" t="s">
        <v>490</v>
      </c>
      <c r="BM103" t="s">
        <v>490</v>
      </c>
      <c r="BN103" t="s">
        <v>490</v>
      </c>
      <c r="BO103" t="s">
        <v>489</v>
      </c>
      <c r="BP103" t="s">
        <v>490</v>
      </c>
      <c r="BQ103" t="s">
        <v>490</v>
      </c>
      <c r="BR103" t="s">
        <v>489</v>
      </c>
      <c r="BS103" t="s">
        <v>489</v>
      </c>
      <c r="BT103" t="s">
        <v>490</v>
      </c>
      <c r="BU103" t="s">
        <v>490</v>
      </c>
      <c r="BV103" t="s">
        <v>489</v>
      </c>
      <c r="BW103" t="s">
        <v>489</v>
      </c>
      <c r="BX103" t="s">
        <v>490</v>
      </c>
      <c r="BY103" t="s">
        <v>489</v>
      </c>
      <c r="BZ103" t="s">
        <v>490</v>
      </c>
      <c r="CA103" t="s">
        <v>490</v>
      </c>
      <c r="DI103" t="s">
        <v>490</v>
      </c>
      <c r="DJ103" t="s">
        <v>490</v>
      </c>
      <c r="DK103" t="s">
        <v>489</v>
      </c>
      <c r="DL103" t="s">
        <v>489</v>
      </c>
      <c r="DM103" t="s">
        <v>489</v>
      </c>
      <c r="DN103" t="s">
        <v>490</v>
      </c>
      <c r="DO103" t="s">
        <v>490</v>
      </c>
      <c r="DP103" t="s">
        <v>490</v>
      </c>
      <c r="DQ103" t="s">
        <v>489</v>
      </c>
      <c r="DR103" t="s">
        <v>489</v>
      </c>
      <c r="DS103" t="s">
        <v>489</v>
      </c>
      <c r="DT103" t="s">
        <v>490</v>
      </c>
      <c r="DU103" t="s">
        <v>489</v>
      </c>
      <c r="DV103" t="s">
        <v>489</v>
      </c>
      <c r="DW103" t="s">
        <v>490</v>
      </c>
      <c r="DX103" t="s">
        <v>490</v>
      </c>
      <c r="DY103" t="s">
        <v>490</v>
      </c>
      <c r="DZ103" t="s">
        <v>489</v>
      </c>
      <c r="EA103" t="s">
        <v>490</v>
      </c>
      <c r="EB103" t="s">
        <v>489</v>
      </c>
      <c r="EC103" t="s">
        <v>490</v>
      </c>
      <c r="ED103" t="s">
        <v>490</v>
      </c>
      <c r="EE103" t="s">
        <v>490</v>
      </c>
      <c r="EF103" t="s">
        <v>489</v>
      </c>
      <c r="EG103" t="s">
        <v>490</v>
      </c>
      <c r="EH103" t="s">
        <v>490</v>
      </c>
      <c r="EI103" t="s">
        <v>489</v>
      </c>
      <c r="EJ103" t="s">
        <v>490</v>
      </c>
      <c r="EK103" t="s">
        <v>489</v>
      </c>
      <c r="EL103" t="s">
        <v>490</v>
      </c>
      <c r="EM103" t="s">
        <v>490</v>
      </c>
      <c r="EN103" t="s">
        <v>490</v>
      </c>
      <c r="EO103" t="s">
        <v>489</v>
      </c>
      <c r="EP103" t="s">
        <v>490</v>
      </c>
      <c r="EQ103" t="s">
        <v>490</v>
      </c>
      <c r="ER103" t="s">
        <v>489</v>
      </c>
      <c r="ES103" t="s">
        <v>490</v>
      </c>
      <c r="ET103" t="s">
        <v>489</v>
      </c>
      <c r="EU103" t="s">
        <v>490</v>
      </c>
      <c r="EV103" t="s">
        <v>490</v>
      </c>
      <c r="EW103" t="s">
        <v>490</v>
      </c>
      <c r="EX103" t="s">
        <v>489</v>
      </c>
      <c r="EY103">
        <v>99</v>
      </c>
      <c r="EZ103">
        <v>2</v>
      </c>
      <c r="FA103">
        <v>10</v>
      </c>
      <c r="FB103" t="s">
        <v>491</v>
      </c>
      <c r="FC103">
        <v>16000</v>
      </c>
      <c r="FD103">
        <v>16000</v>
      </c>
      <c r="FE103">
        <v>1500</v>
      </c>
      <c r="FF103">
        <v>1500</v>
      </c>
      <c r="FI103">
        <v>0</v>
      </c>
      <c r="FJ103">
        <v>2000</v>
      </c>
      <c r="FO103">
        <v>10</v>
      </c>
      <c r="FP103">
        <v>10</v>
      </c>
      <c r="FQ103">
        <v>20000</v>
      </c>
      <c r="FR103">
        <v>20000</v>
      </c>
      <c r="FS103">
        <v>0</v>
      </c>
      <c r="FT103">
        <v>2000</v>
      </c>
      <c r="FU103">
        <v>0</v>
      </c>
      <c r="FV103">
        <v>0</v>
      </c>
      <c r="FZ103">
        <v>0</v>
      </c>
      <c r="GD103">
        <v>0</v>
      </c>
      <c r="GF103">
        <v>0</v>
      </c>
      <c r="GG103">
        <v>1</v>
      </c>
      <c r="GH103">
        <v>0</v>
      </c>
      <c r="GI103">
        <v>99</v>
      </c>
      <c r="GJ103">
        <v>0</v>
      </c>
      <c r="GK103">
        <v>0</v>
      </c>
      <c r="GL103">
        <v>100</v>
      </c>
      <c r="GP103">
        <v>0</v>
      </c>
      <c r="GQ103">
        <v>100</v>
      </c>
      <c r="GR103">
        <v>0</v>
      </c>
      <c r="GY103">
        <v>30</v>
      </c>
      <c r="GZ103">
        <v>70</v>
      </c>
      <c r="HA103">
        <v>0</v>
      </c>
      <c r="HB103">
        <v>2</v>
      </c>
      <c r="HC103">
        <v>5</v>
      </c>
      <c r="HD103">
        <v>93</v>
      </c>
      <c r="HM103">
        <v>750</v>
      </c>
      <c r="HO103">
        <v>40000</v>
      </c>
      <c r="HR103">
        <v>500</v>
      </c>
      <c r="HU103">
        <v>250</v>
      </c>
      <c r="HW103">
        <v>40000</v>
      </c>
      <c r="HZ103">
        <v>400</v>
      </c>
      <c r="IC103">
        <v>500</v>
      </c>
      <c r="IE103">
        <v>20000</v>
      </c>
      <c r="IH103">
        <v>100</v>
      </c>
      <c r="IO103">
        <v>10</v>
      </c>
      <c r="IP103">
        <v>90</v>
      </c>
      <c r="IQ103">
        <v>0</v>
      </c>
      <c r="IU103">
        <v>50</v>
      </c>
      <c r="IV103">
        <v>50</v>
      </c>
      <c r="IW103">
        <v>0</v>
      </c>
      <c r="JD103">
        <v>10</v>
      </c>
      <c r="JE103">
        <v>80</v>
      </c>
      <c r="JF103">
        <v>10</v>
      </c>
      <c r="JG103">
        <v>100000</v>
      </c>
      <c r="JI103">
        <v>10000</v>
      </c>
      <c r="JK103">
        <v>100000</v>
      </c>
      <c r="JM103">
        <v>10000</v>
      </c>
      <c r="JO103">
        <v>0</v>
      </c>
      <c r="JQ103">
        <v>0</v>
      </c>
      <c r="JS103">
        <v>10</v>
      </c>
      <c r="JT103">
        <v>10</v>
      </c>
      <c r="JU103">
        <v>80</v>
      </c>
      <c r="JY103">
        <v>0</v>
      </c>
      <c r="JZ103">
        <v>10</v>
      </c>
      <c r="KA103">
        <v>90</v>
      </c>
      <c r="MI103">
        <v>500</v>
      </c>
      <c r="MK103">
        <v>25</v>
      </c>
      <c r="ML103">
        <v>250</v>
      </c>
      <c r="MO103">
        <v>100</v>
      </c>
      <c r="MQ103">
        <v>100</v>
      </c>
      <c r="MR103">
        <v>1000</v>
      </c>
      <c r="MU103">
        <v>400</v>
      </c>
      <c r="MW103">
        <v>40</v>
      </c>
      <c r="MX103">
        <v>0</v>
      </c>
      <c r="MZ103">
        <v>30</v>
      </c>
      <c r="NC103">
        <v>20</v>
      </c>
      <c r="NG103">
        <v>10</v>
      </c>
      <c r="NH103">
        <v>30</v>
      </c>
      <c r="NK103">
        <v>20</v>
      </c>
      <c r="NN103">
        <v>10</v>
      </c>
      <c r="NS103">
        <v>0</v>
      </c>
      <c r="NT103">
        <v>100</v>
      </c>
      <c r="NU103">
        <v>0</v>
      </c>
      <c r="NY103">
        <v>10</v>
      </c>
      <c r="NZ103">
        <v>50</v>
      </c>
      <c r="OA103">
        <v>40</v>
      </c>
      <c r="OB103">
        <v>40</v>
      </c>
      <c r="OC103">
        <v>30</v>
      </c>
      <c r="OD103">
        <v>30</v>
      </c>
      <c r="OH103" s="15">
        <v>4</v>
      </c>
      <c r="OI103" s="15">
        <v>7</v>
      </c>
      <c r="OJ103" s="15">
        <v>7</v>
      </c>
      <c r="OK103" s="15">
        <v>5</v>
      </c>
      <c r="OL103" s="15">
        <v>9</v>
      </c>
      <c r="OM103" s="15">
        <v>9</v>
      </c>
      <c r="ON103" s="15">
        <v>1</v>
      </c>
      <c r="OO103" s="15">
        <v>1</v>
      </c>
      <c r="OQ103" t="s">
        <v>488</v>
      </c>
      <c r="OR103" t="s">
        <v>488</v>
      </c>
      <c r="OY103">
        <v>2</v>
      </c>
      <c r="OZ103">
        <v>0</v>
      </c>
      <c r="PA103">
        <v>0</v>
      </c>
      <c r="PB103">
        <v>0</v>
      </c>
      <c r="PC103">
        <v>0</v>
      </c>
      <c r="PD103">
        <v>0</v>
      </c>
      <c r="PE103">
        <v>0</v>
      </c>
      <c r="PF103">
        <v>0</v>
      </c>
      <c r="PG103">
        <v>0</v>
      </c>
      <c r="PH103">
        <v>0</v>
      </c>
      <c r="PI103">
        <v>5</v>
      </c>
      <c r="PJ103">
        <v>0</v>
      </c>
      <c r="PK103">
        <v>2</v>
      </c>
      <c r="PL103">
        <v>100</v>
      </c>
      <c r="PM103">
        <v>0</v>
      </c>
      <c r="PN103">
        <v>0</v>
      </c>
      <c r="PO103">
        <v>0</v>
      </c>
      <c r="PP103">
        <v>0</v>
      </c>
      <c r="PQ103">
        <v>0</v>
      </c>
      <c r="PR103">
        <v>5</v>
      </c>
      <c r="PS103" t="s">
        <v>592</v>
      </c>
      <c r="PT103" t="s">
        <v>488</v>
      </c>
      <c r="PU103" t="s">
        <v>497</v>
      </c>
      <c r="PV103">
        <v>40000</v>
      </c>
      <c r="PW103">
        <v>0</v>
      </c>
      <c r="PX103">
        <v>40000</v>
      </c>
      <c r="PY103" t="s">
        <v>493</v>
      </c>
      <c r="PZ103" t="s">
        <v>493</v>
      </c>
      <c r="QA103">
        <v>90</v>
      </c>
      <c r="QB103">
        <v>10</v>
      </c>
      <c r="QC103">
        <v>10</v>
      </c>
      <c r="QD103">
        <v>90</v>
      </c>
      <c r="QE103" t="s">
        <v>508</v>
      </c>
      <c r="QZ103">
        <v>1</v>
      </c>
      <c r="RA103">
        <v>1</v>
      </c>
      <c r="RB103" t="s">
        <v>489</v>
      </c>
      <c r="RC103" t="s">
        <v>490</v>
      </c>
      <c r="RD103" t="s">
        <v>490</v>
      </c>
      <c r="RE103" t="s">
        <v>490</v>
      </c>
      <c r="RF103" t="s">
        <v>490</v>
      </c>
      <c r="RG103" t="s">
        <v>490</v>
      </c>
      <c r="RH103" t="s">
        <v>490</v>
      </c>
      <c r="RI103" t="s">
        <v>490</v>
      </c>
      <c r="RQ103" t="s">
        <v>593</v>
      </c>
    </row>
    <row r="104" spans="1:486">
      <c r="A104">
        <v>11470</v>
      </c>
      <c r="B104" t="s">
        <v>506</v>
      </c>
      <c r="C104" t="s">
        <v>974</v>
      </c>
      <c r="D104" t="s">
        <v>507</v>
      </c>
      <c r="E104" t="s">
        <v>500</v>
      </c>
      <c r="F104" t="s">
        <v>505</v>
      </c>
      <c r="G104">
        <v>1</v>
      </c>
      <c r="H104" t="s">
        <v>487</v>
      </c>
      <c r="I104" t="s">
        <v>487</v>
      </c>
      <c r="J104" t="s">
        <v>487</v>
      </c>
      <c r="K104" t="s">
        <v>488</v>
      </c>
      <c r="L104" t="s">
        <v>489</v>
      </c>
      <c r="M104" t="s">
        <v>489</v>
      </c>
      <c r="N104" t="s">
        <v>489</v>
      </c>
      <c r="O104" t="s">
        <v>490</v>
      </c>
      <c r="P104" t="s">
        <v>490</v>
      </c>
      <c r="Q104" t="s">
        <v>490</v>
      </c>
      <c r="R104" t="s">
        <v>489</v>
      </c>
      <c r="S104" t="s">
        <v>489</v>
      </c>
      <c r="T104" t="s">
        <v>489</v>
      </c>
      <c r="U104" t="s">
        <v>490</v>
      </c>
      <c r="V104" t="s">
        <v>490</v>
      </c>
      <c r="W104" t="s">
        <v>489</v>
      </c>
      <c r="X104" t="s">
        <v>490</v>
      </c>
      <c r="Y104" t="s">
        <v>490</v>
      </c>
      <c r="Z104" t="s">
        <v>490</v>
      </c>
      <c r="AA104" t="s">
        <v>490</v>
      </c>
      <c r="AB104" t="s">
        <v>489</v>
      </c>
      <c r="AC104" t="s">
        <v>489</v>
      </c>
      <c r="AD104" t="s">
        <v>489</v>
      </c>
      <c r="AE104" t="s">
        <v>490</v>
      </c>
      <c r="AF104" t="s">
        <v>490</v>
      </c>
      <c r="AG104" t="s">
        <v>490</v>
      </c>
      <c r="AH104" t="s">
        <v>489</v>
      </c>
      <c r="AI104" t="s">
        <v>489</v>
      </c>
      <c r="AJ104" t="s">
        <v>490</v>
      </c>
      <c r="AK104" t="s">
        <v>490</v>
      </c>
      <c r="AL104" t="s">
        <v>489</v>
      </c>
      <c r="AM104" t="s">
        <v>489</v>
      </c>
      <c r="AN104" t="s">
        <v>490</v>
      </c>
      <c r="AO104" t="s">
        <v>489</v>
      </c>
      <c r="AP104" t="s">
        <v>489</v>
      </c>
      <c r="AQ104" t="s">
        <v>490</v>
      </c>
      <c r="AR104" t="s">
        <v>489</v>
      </c>
      <c r="AS104" t="s">
        <v>489</v>
      </c>
      <c r="AT104" t="s">
        <v>490</v>
      </c>
      <c r="AU104" t="s">
        <v>489</v>
      </c>
      <c r="AV104" t="s">
        <v>490</v>
      </c>
      <c r="AW104" t="s">
        <v>490</v>
      </c>
      <c r="AX104" t="s">
        <v>489</v>
      </c>
      <c r="AY104" t="s">
        <v>490</v>
      </c>
      <c r="AZ104" t="s">
        <v>490</v>
      </c>
      <c r="BA104" t="s">
        <v>489</v>
      </c>
      <c r="BB104" t="s">
        <v>490</v>
      </c>
      <c r="BC104" t="s">
        <v>490</v>
      </c>
      <c r="BD104" t="s">
        <v>489</v>
      </c>
      <c r="BE104" t="s">
        <v>489</v>
      </c>
      <c r="BF104" t="s">
        <v>490</v>
      </c>
      <c r="BG104" t="s">
        <v>489</v>
      </c>
      <c r="BH104" t="s">
        <v>490</v>
      </c>
      <c r="BI104" t="s">
        <v>490</v>
      </c>
      <c r="BJ104" t="s">
        <v>489</v>
      </c>
      <c r="BK104" t="s">
        <v>490</v>
      </c>
      <c r="BL104" t="s">
        <v>490</v>
      </c>
      <c r="BM104" t="s">
        <v>489</v>
      </c>
      <c r="BN104" t="s">
        <v>490</v>
      </c>
      <c r="BO104" t="s">
        <v>490</v>
      </c>
      <c r="BP104" t="s">
        <v>490</v>
      </c>
      <c r="BQ104" t="s">
        <v>490</v>
      </c>
      <c r="BR104" t="s">
        <v>489</v>
      </c>
      <c r="BS104" t="s">
        <v>490</v>
      </c>
      <c r="BT104" t="s">
        <v>490</v>
      </c>
      <c r="BU104" t="s">
        <v>489</v>
      </c>
      <c r="BV104" t="s">
        <v>489</v>
      </c>
      <c r="BW104" t="s">
        <v>489</v>
      </c>
      <c r="BX104" t="s">
        <v>490</v>
      </c>
      <c r="BY104" t="s">
        <v>489</v>
      </c>
      <c r="BZ104" t="s">
        <v>489</v>
      </c>
      <c r="CA104" t="s">
        <v>490</v>
      </c>
      <c r="DI104" t="s">
        <v>489</v>
      </c>
      <c r="DJ104" t="s">
        <v>490</v>
      </c>
      <c r="DK104" t="s">
        <v>490</v>
      </c>
      <c r="DL104" t="s">
        <v>489</v>
      </c>
      <c r="DM104" t="s">
        <v>490</v>
      </c>
      <c r="DN104" t="s">
        <v>490</v>
      </c>
      <c r="DO104" t="s">
        <v>490</v>
      </c>
      <c r="DP104" t="s">
        <v>490</v>
      </c>
      <c r="DQ104" t="s">
        <v>489</v>
      </c>
      <c r="DR104" t="s">
        <v>489</v>
      </c>
      <c r="DS104" t="s">
        <v>490</v>
      </c>
      <c r="DT104" t="s">
        <v>490</v>
      </c>
      <c r="DU104" t="s">
        <v>489</v>
      </c>
      <c r="DV104" t="s">
        <v>490</v>
      </c>
      <c r="DW104" t="s">
        <v>490</v>
      </c>
      <c r="DX104" t="s">
        <v>490</v>
      </c>
      <c r="DY104" t="s">
        <v>490</v>
      </c>
      <c r="DZ104" t="s">
        <v>489</v>
      </c>
      <c r="EA104" t="s">
        <v>490</v>
      </c>
      <c r="EB104" t="s">
        <v>490</v>
      </c>
      <c r="EC104" t="s">
        <v>489</v>
      </c>
      <c r="ED104" t="s">
        <v>490</v>
      </c>
      <c r="EE104" t="s">
        <v>490</v>
      </c>
      <c r="EF104" t="s">
        <v>489</v>
      </c>
      <c r="EG104" t="s">
        <v>490</v>
      </c>
      <c r="EH104" t="s">
        <v>490</v>
      </c>
      <c r="EI104" t="s">
        <v>489</v>
      </c>
      <c r="EJ104" t="s">
        <v>490</v>
      </c>
      <c r="EK104" t="s">
        <v>489</v>
      </c>
      <c r="EL104" t="s">
        <v>490</v>
      </c>
      <c r="EM104" t="s">
        <v>490</v>
      </c>
      <c r="EN104" t="s">
        <v>490</v>
      </c>
      <c r="EO104" t="s">
        <v>489</v>
      </c>
      <c r="EP104" t="s">
        <v>490</v>
      </c>
      <c r="EQ104" t="s">
        <v>490</v>
      </c>
      <c r="ER104" t="s">
        <v>489</v>
      </c>
      <c r="ES104" t="s">
        <v>490</v>
      </c>
      <c r="ET104" t="s">
        <v>490</v>
      </c>
      <c r="EU104" t="s">
        <v>489</v>
      </c>
      <c r="EV104" t="s">
        <v>490</v>
      </c>
      <c r="EW104" t="s">
        <v>490</v>
      </c>
      <c r="EX104" t="s">
        <v>489</v>
      </c>
      <c r="EY104">
        <v>80</v>
      </c>
      <c r="EZ104">
        <v>10</v>
      </c>
      <c r="FA104">
        <v>90</v>
      </c>
      <c r="FB104" t="s">
        <v>491</v>
      </c>
      <c r="FD104">
        <v>20</v>
      </c>
      <c r="FF104">
        <v>200</v>
      </c>
      <c r="FJ104">
        <v>50</v>
      </c>
      <c r="FN104">
        <v>200</v>
      </c>
      <c r="FP104">
        <v>100</v>
      </c>
      <c r="FR104">
        <v>5000</v>
      </c>
      <c r="FT104">
        <v>2000</v>
      </c>
      <c r="GG104">
        <v>0</v>
      </c>
      <c r="GH104">
        <v>100</v>
      </c>
      <c r="GI104">
        <v>0</v>
      </c>
      <c r="GP104">
        <v>100</v>
      </c>
      <c r="GQ104">
        <v>0</v>
      </c>
      <c r="GR104">
        <v>0</v>
      </c>
      <c r="GY104">
        <v>0</v>
      </c>
      <c r="GZ104">
        <v>100</v>
      </c>
      <c r="HA104">
        <v>0</v>
      </c>
      <c r="HB104">
        <v>10</v>
      </c>
      <c r="HC104">
        <v>90</v>
      </c>
      <c r="HD104">
        <v>0</v>
      </c>
      <c r="HS104">
        <v>50</v>
      </c>
      <c r="HT104">
        <v>20</v>
      </c>
      <c r="HU104">
        <v>100</v>
      </c>
      <c r="HV104">
        <v>25</v>
      </c>
      <c r="HW104">
        <v>2000</v>
      </c>
      <c r="HX104">
        <v>100</v>
      </c>
      <c r="IO104">
        <v>5</v>
      </c>
      <c r="IP104">
        <v>95</v>
      </c>
      <c r="IQ104">
        <v>0</v>
      </c>
      <c r="IV104">
        <v>100</v>
      </c>
      <c r="JK104">
        <v>1200</v>
      </c>
      <c r="MH104">
        <v>10</v>
      </c>
      <c r="MI104">
        <v>30</v>
      </c>
      <c r="MK104">
        <v>10</v>
      </c>
      <c r="ML104">
        <v>10</v>
      </c>
      <c r="NC104">
        <v>100</v>
      </c>
      <c r="NK104">
        <v>0</v>
      </c>
      <c r="NQ104">
        <v>100</v>
      </c>
      <c r="NS104">
        <v>0</v>
      </c>
      <c r="NT104">
        <v>100</v>
      </c>
      <c r="NU104">
        <v>0</v>
      </c>
      <c r="NY104">
        <v>0</v>
      </c>
      <c r="NZ104">
        <v>100</v>
      </c>
      <c r="OA104">
        <v>0</v>
      </c>
      <c r="OB104">
        <v>0</v>
      </c>
      <c r="OC104">
        <v>100</v>
      </c>
      <c r="OD104">
        <v>0</v>
      </c>
      <c r="OH104" s="15">
        <v>6</v>
      </c>
      <c r="OI104" s="15">
        <v>1</v>
      </c>
      <c r="OJ104" s="15">
        <v>5</v>
      </c>
      <c r="OK104" s="15">
        <v>1</v>
      </c>
      <c r="OL104" s="15">
        <v>10</v>
      </c>
      <c r="OM104" s="15">
        <v>10</v>
      </c>
      <c r="ON104" s="15">
        <v>1</v>
      </c>
      <c r="OO104" s="15">
        <v>1</v>
      </c>
      <c r="OQ104" t="s">
        <v>487</v>
      </c>
      <c r="OR104" t="s">
        <v>488</v>
      </c>
      <c r="OY104">
        <v>0</v>
      </c>
      <c r="OZ104">
        <v>0</v>
      </c>
      <c r="PA104">
        <v>0</v>
      </c>
      <c r="PB104">
        <v>0</v>
      </c>
      <c r="PC104">
        <v>0</v>
      </c>
      <c r="PD104">
        <v>0</v>
      </c>
      <c r="PE104">
        <v>0</v>
      </c>
      <c r="PF104">
        <v>0</v>
      </c>
      <c r="PG104">
        <v>100</v>
      </c>
      <c r="PH104">
        <v>0</v>
      </c>
      <c r="PI104">
        <v>0</v>
      </c>
      <c r="PJ104">
        <v>0</v>
      </c>
      <c r="PK104">
        <v>0</v>
      </c>
      <c r="PL104">
        <v>0</v>
      </c>
      <c r="PM104">
        <v>0</v>
      </c>
      <c r="PN104">
        <v>0</v>
      </c>
      <c r="PO104">
        <v>0</v>
      </c>
      <c r="PP104">
        <v>0</v>
      </c>
      <c r="PQ104">
        <v>100</v>
      </c>
      <c r="PR104">
        <v>0</v>
      </c>
      <c r="PT104" t="s">
        <v>487</v>
      </c>
      <c r="PU104" t="s">
        <v>497</v>
      </c>
      <c r="PV104">
        <v>14000</v>
      </c>
      <c r="PW104">
        <v>0</v>
      </c>
      <c r="PX104">
        <v>14000</v>
      </c>
      <c r="PY104" t="s">
        <v>493</v>
      </c>
      <c r="PZ104" t="s">
        <v>493</v>
      </c>
      <c r="QA104">
        <v>90</v>
      </c>
      <c r="QB104">
        <v>10</v>
      </c>
      <c r="QC104">
        <v>5</v>
      </c>
      <c r="QD104">
        <v>95</v>
      </c>
      <c r="QE104" t="s">
        <v>494</v>
      </c>
      <c r="QF104">
        <v>5</v>
      </c>
      <c r="QG104">
        <v>5</v>
      </c>
      <c r="QH104">
        <v>0</v>
      </c>
      <c r="QI104">
        <v>5</v>
      </c>
      <c r="QJ104">
        <v>85</v>
      </c>
      <c r="QK104">
        <v>0</v>
      </c>
      <c r="QL104">
        <v>0</v>
      </c>
      <c r="QM104">
        <v>0</v>
      </c>
      <c r="QN104">
        <v>0</v>
      </c>
      <c r="QP104">
        <v>85</v>
      </c>
      <c r="QQ104">
        <v>5</v>
      </c>
      <c r="QR104">
        <v>5</v>
      </c>
      <c r="QS104">
        <v>0</v>
      </c>
      <c r="QT104">
        <v>0</v>
      </c>
      <c r="QU104">
        <v>5</v>
      </c>
      <c r="QV104">
        <v>0</v>
      </c>
      <c r="QW104">
        <v>0</v>
      </c>
      <c r="QX104">
        <v>0</v>
      </c>
      <c r="QZ104">
        <v>1</v>
      </c>
      <c r="RA104">
        <v>5</v>
      </c>
      <c r="RB104" t="s">
        <v>489</v>
      </c>
      <c r="RC104" t="s">
        <v>490</v>
      </c>
      <c r="RD104" t="s">
        <v>490</v>
      </c>
      <c r="RE104" t="s">
        <v>490</v>
      </c>
      <c r="RF104" t="s">
        <v>490</v>
      </c>
      <c r="RG104" t="s">
        <v>490</v>
      </c>
      <c r="RH104" t="s">
        <v>490</v>
      </c>
      <c r="RI104" t="s">
        <v>490</v>
      </c>
    </row>
    <row r="105" spans="1:486">
      <c r="A105">
        <v>1003412</v>
      </c>
      <c r="B105" t="s">
        <v>506</v>
      </c>
      <c r="C105" t="s">
        <v>974</v>
      </c>
      <c r="D105" t="s">
        <v>507</v>
      </c>
      <c r="E105" t="s">
        <v>500</v>
      </c>
      <c r="F105" t="s">
        <v>509</v>
      </c>
      <c r="G105">
        <v>5.5</v>
      </c>
      <c r="H105" t="s">
        <v>487</v>
      </c>
      <c r="I105" t="s">
        <v>487</v>
      </c>
      <c r="J105" t="s">
        <v>487</v>
      </c>
      <c r="K105" t="s">
        <v>488</v>
      </c>
      <c r="L105" t="s">
        <v>489</v>
      </c>
      <c r="M105" t="s">
        <v>489</v>
      </c>
      <c r="N105" t="s">
        <v>489</v>
      </c>
      <c r="O105" t="s">
        <v>490</v>
      </c>
      <c r="P105" t="s">
        <v>490</v>
      </c>
      <c r="Q105" t="s">
        <v>490</v>
      </c>
      <c r="R105" t="s">
        <v>489</v>
      </c>
      <c r="S105" t="s">
        <v>490</v>
      </c>
      <c r="T105" t="s">
        <v>489</v>
      </c>
      <c r="U105" t="s">
        <v>490</v>
      </c>
      <c r="V105" t="s">
        <v>490</v>
      </c>
      <c r="W105" t="s">
        <v>489</v>
      </c>
      <c r="X105" t="s">
        <v>490</v>
      </c>
      <c r="Y105" t="s">
        <v>490</v>
      </c>
      <c r="Z105" t="s">
        <v>490</v>
      </c>
      <c r="AA105" t="s">
        <v>490</v>
      </c>
      <c r="AB105" t="s">
        <v>489</v>
      </c>
      <c r="AC105" t="s">
        <v>489</v>
      </c>
      <c r="AD105" t="s">
        <v>489</v>
      </c>
      <c r="AE105" t="s">
        <v>490</v>
      </c>
      <c r="AF105" t="s">
        <v>490</v>
      </c>
      <c r="AG105" t="s">
        <v>490</v>
      </c>
      <c r="AH105" t="s">
        <v>489</v>
      </c>
      <c r="AI105" t="s">
        <v>489</v>
      </c>
      <c r="AJ105" t="s">
        <v>490</v>
      </c>
      <c r="AK105" t="s">
        <v>490</v>
      </c>
      <c r="AL105" t="s">
        <v>489</v>
      </c>
      <c r="AM105" t="s">
        <v>490</v>
      </c>
      <c r="AN105" t="s">
        <v>490</v>
      </c>
      <c r="AO105" t="s">
        <v>489</v>
      </c>
      <c r="AP105" t="s">
        <v>490</v>
      </c>
      <c r="AQ105" t="s">
        <v>490</v>
      </c>
      <c r="AR105" t="s">
        <v>489</v>
      </c>
      <c r="AS105" t="s">
        <v>489</v>
      </c>
      <c r="AT105" t="s">
        <v>490</v>
      </c>
      <c r="AU105" t="s">
        <v>489</v>
      </c>
      <c r="AV105" t="s">
        <v>489</v>
      </c>
      <c r="AW105" t="s">
        <v>490</v>
      </c>
      <c r="AX105" t="s">
        <v>489</v>
      </c>
      <c r="AY105" t="s">
        <v>490</v>
      </c>
      <c r="AZ105" t="s">
        <v>490</v>
      </c>
      <c r="BA105" t="s">
        <v>489</v>
      </c>
      <c r="BB105" t="s">
        <v>490</v>
      </c>
      <c r="BC105" t="s">
        <v>490</v>
      </c>
      <c r="BD105" t="s">
        <v>489</v>
      </c>
      <c r="BE105" t="s">
        <v>489</v>
      </c>
      <c r="BF105" t="s">
        <v>490</v>
      </c>
      <c r="BG105" t="s">
        <v>489</v>
      </c>
      <c r="BH105" t="s">
        <v>490</v>
      </c>
      <c r="BI105" t="s">
        <v>490</v>
      </c>
      <c r="BJ105" t="s">
        <v>489</v>
      </c>
      <c r="BK105" t="s">
        <v>489</v>
      </c>
      <c r="BL105" t="s">
        <v>490</v>
      </c>
      <c r="BM105" t="s">
        <v>489</v>
      </c>
      <c r="BN105" t="s">
        <v>490</v>
      </c>
      <c r="BO105" t="s">
        <v>490</v>
      </c>
      <c r="BP105" t="s">
        <v>490</v>
      </c>
      <c r="BQ105" t="s">
        <v>490</v>
      </c>
      <c r="BR105" t="s">
        <v>489</v>
      </c>
      <c r="BS105" t="s">
        <v>490</v>
      </c>
      <c r="BT105" t="s">
        <v>490</v>
      </c>
      <c r="BU105" t="s">
        <v>489</v>
      </c>
      <c r="BV105" t="s">
        <v>489</v>
      </c>
      <c r="BW105" t="s">
        <v>489</v>
      </c>
      <c r="BX105" t="s">
        <v>490</v>
      </c>
      <c r="BY105" t="s">
        <v>489</v>
      </c>
      <c r="BZ105" t="s">
        <v>489</v>
      </c>
      <c r="CA105" t="s">
        <v>490</v>
      </c>
      <c r="DI105" t="s">
        <v>490</v>
      </c>
      <c r="DJ105" t="s">
        <v>490</v>
      </c>
      <c r="DK105" t="s">
        <v>489</v>
      </c>
      <c r="DL105" t="s">
        <v>490</v>
      </c>
      <c r="DM105" t="s">
        <v>489</v>
      </c>
      <c r="DN105" t="s">
        <v>490</v>
      </c>
      <c r="DO105" t="s">
        <v>490</v>
      </c>
      <c r="DP105" t="s">
        <v>490</v>
      </c>
      <c r="DQ105" t="s">
        <v>489</v>
      </c>
      <c r="DR105" t="s">
        <v>490</v>
      </c>
      <c r="DS105" t="s">
        <v>490</v>
      </c>
      <c r="DT105" t="s">
        <v>489</v>
      </c>
      <c r="DU105" t="s">
        <v>490</v>
      </c>
      <c r="DV105" t="s">
        <v>490</v>
      </c>
      <c r="DW105" t="s">
        <v>489</v>
      </c>
      <c r="DX105" t="s">
        <v>490</v>
      </c>
      <c r="DY105" t="s">
        <v>490</v>
      </c>
      <c r="DZ105" t="s">
        <v>489</v>
      </c>
      <c r="EY105">
        <v>25</v>
      </c>
      <c r="EZ105">
        <v>2</v>
      </c>
      <c r="FA105">
        <v>25</v>
      </c>
      <c r="FB105" t="s">
        <v>491</v>
      </c>
      <c r="FC105">
        <v>0</v>
      </c>
      <c r="FD105">
        <v>0</v>
      </c>
      <c r="FE105">
        <v>0</v>
      </c>
      <c r="FF105">
        <v>0</v>
      </c>
      <c r="FI105">
        <v>10000</v>
      </c>
      <c r="FJ105">
        <v>10000</v>
      </c>
      <c r="FM105">
        <v>150</v>
      </c>
      <c r="FN105">
        <v>150</v>
      </c>
      <c r="FO105">
        <v>150</v>
      </c>
      <c r="FP105">
        <v>150</v>
      </c>
      <c r="FQ105">
        <v>0</v>
      </c>
      <c r="FR105">
        <v>0</v>
      </c>
      <c r="FS105">
        <v>10000</v>
      </c>
      <c r="FT105">
        <v>10000</v>
      </c>
      <c r="FU105">
        <v>10000</v>
      </c>
      <c r="FV105">
        <v>10000</v>
      </c>
      <c r="FZ105">
        <v>0</v>
      </c>
      <c r="GB105">
        <v>0</v>
      </c>
      <c r="GD105">
        <v>0</v>
      </c>
      <c r="HK105">
        <v>10</v>
      </c>
      <c r="HL105">
        <v>10</v>
      </c>
      <c r="HM105">
        <v>0</v>
      </c>
      <c r="HN105">
        <v>0</v>
      </c>
      <c r="HO105">
        <v>2500</v>
      </c>
      <c r="HP105">
        <v>0</v>
      </c>
      <c r="HS105">
        <v>50</v>
      </c>
      <c r="HT105">
        <v>50</v>
      </c>
      <c r="HU105">
        <v>500</v>
      </c>
      <c r="HV105">
        <v>20</v>
      </c>
      <c r="HW105">
        <v>50000</v>
      </c>
      <c r="HX105">
        <v>250</v>
      </c>
      <c r="IA105">
        <v>0</v>
      </c>
      <c r="IC105">
        <v>0</v>
      </c>
      <c r="ID105">
        <v>0</v>
      </c>
      <c r="IE105">
        <v>0</v>
      </c>
      <c r="IF105">
        <v>0</v>
      </c>
      <c r="II105">
        <v>0</v>
      </c>
      <c r="IJ105">
        <v>100</v>
      </c>
      <c r="IK105">
        <v>0</v>
      </c>
      <c r="IL105">
        <v>0</v>
      </c>
      <c r="IM105">
        <v>100</v>
      </c>
      <c r="IN105">
        <v>0</v>
      </c>
      <c r="IO105">
        <v>1</v>
      </c>
      <c r="IP105">
        <v>70</v>
      </c>
      <c r="IQ105">
        <v>30</v>
      </c>
      <c r="IR105">
        <v>0</v>
      </c>
      <c r="IS105">
        <v>100</v>
      </c>
      <c r="IT105">
        <v>0</v>
      </c>
      <c r="IU105">
        <v>5</v>
      </c>
      <c r="IV105">
        <v>50</v>
      </c>
      <c r="IW105">
        <v>45</v>
      </c>
      <c r="IX105">
        <v>0</v>
      </c>
      <c r="IY105">
        <v>100</v>
      </c>
      <c r="IZ105">
        <v>0</v>
      </c>
      <c r="JG105">
        <v>50000</v>
      </c>
      <c r="JI105">
        <v>50000</v>
      </c>
      <c r="JK105">
        <v>3500</v>
      </c>
      <c r="JM105">
        <v>1500</v>
      </c>
      <c r="JO105">
        <v>0</v>
      </c>
      <c r="JQ105">
        <v>0</v>
      </c>
      <c r="JS105">
        <v>1</v>
      </c>
      <c r="JT105">
        <v>25</v>
      </c>
      <c r="JU105">
        <v>75</v>
      </c>
      <c r="JY105">
        <v>1</v>
      </c>
      <c r="JZ105">
        <v>25</v>
      </c>
      <c r="KA105">
        <v>75</v>
      </c>
      <c r="MI105">
        <v>5</v>
      </c>
      <c r="MO105">
        <v>10</v>
      </c>
      <c r="MU105">
        <v>10</v>
      </c>
      <c r="NS105">
        <v>100</v>
      </c>
      <c r="NT105">
        <v>0</v>
      </c>
      <c r="NU105">
        <v>0</v>
      </c>
      <c r="OH105" s="15">
        <v>3</v>
      </c>
      <c r="OI105" s="15">
        <v>3</v>
      </c>
      <c r="OJ105" s="15">
        <v>3</v>
      </c>
      <c r="OK105" s="15">
        <v>3</v>
      </c>
      <c r="OL105" s="15">
        <v>5</v>
      </c>
      <c r="OM105" s="15">
        <v>8</v>
      </c>
      <c r="ON105" s="15">
        <v>3</v>
      </c>
      <c r="OO105" s="15">
        <v>3</v>
      </c>
      <c r="OQ105" t="s">
        <v>488</v>
      </c>
      <c r="OR105" t="s">
        <v>488</v>
      </c>
      <c r="OY105">
        <v>10</v>
      </c>
      <c r="OZ105">
        <v>5</v>
      </c>
      <c r="PA105">
        <v>0</v>
      </c>
      <c r="PB105">
        <v>0</v>
      </c>
      <c r="PC105">
        <v>0</v>
      </c>
      <c r="PD105">
        <v>0</v>
      </c>
      <c r="PE105">
        <v>0</v>
      </c>
      <c r="PF105">
        <v>0</v>
      </c>
      <c r="PG105">
        <v>0</v>
      </c>
      <c r="PH105">
        <v>0</v>
      </c>
      <c r="PI105">
        <v>20</v>
      </c>
      <c r="PJ105">
        <v>20</v>
      </c>
      <c r="PK105">
        <v>20</v>
      </c>
      <c r="PL105">
        <v>20</v>
      </c>
      <c r="PM105">
        <v>0</v>
      </c>
      <c r="PN105">
        <v>0</v>
      </c>
      <c r="PO105">
        <v>0</v>
      </c>
      <c r="PP105">
        <v>0</v>
      </c>
      <c r="PQ105">
        <v>0</v>
      </c>
      <c r="PR105">
        <v>0</v>
      </c>
      <c r="PT105" t="s">
        <v>488</v>
      </c>
      <c r="PU105" t="s">
        <v>497</v>
      </c>
      <c r="PV105">
        <v>5000</v>
      </c>
      <c r="PW105">
        <v>0</v>
      </c>
      <c r="PX105">
        <v>5000</v>
      </c>
      <c r="PY105" t="s">
        <v>493</v>
      </c>
      <c r="PZ105" t="s">
        <v>493</v>
      </c>
      <c r="QA105">
        <v>50</v>
      </c>
      <c r="QB105">
        <v>50</v>
      </c>
      <c r="QC105">
        <v>50</v>
      </c>
      <c r="QD105">
        <v>50</v>
      </c>
      <c r="QE105" t="s">
        <v>508</v>
      </c>
      <c r="QZ105">
        <v>0.5</v>
      </c>
      <c r="RA105">
        <v>2</v>
      </c>
      <c r="RB105" t="s">
        <v>489</v>
      </c>
      <c r="RC105" t="s">
        <v>490</v>
      </c>
      <c r="RD105" t="s">
        <v>489</v>
      </c>
      <c r="RE105" t="s">
        <v>490</v>
      </c>
      <c r="RF105" t="s">
        <v>490</v>
      </c>
      <c r="RG105" t="s">
        <v>490</v>
      </c>
      <c r="RH105" t="s">
        <v>490</v>
      </c>
      <c r="RI105" t="s">
        <v>490</v>
      </c>
    </row>
    <row r="106" spans="1:486">
      <c r="A106">
        <v>1003559</v>
      </c>
      <c r="B106" t="s">
        <v>506</v>
      </c>
      <c r="C106" t="s">
        <v>974</v>
      </c>
      <c r="D106" t="s">
        <v>507</v>
      </c>
      <c r="E106" t="s">
        <v>500</v>
      </c>
      <c r="F106" t="s">
        <v>545</v>
      </c>
      <c r="G106">
        <v>30</v>
      </c>
      <c r="H106" t="s">
        <v>487</v>
      </c>
      <c r="I106" t="s">
        <v>487</v>
      </c>
      <c r="J106" t="s">
        <v>487</v>
      </c>
      <c r="K106" t="s">
        <v>487</v>
      </c>
      <c r="L106" t="s">
        <v>489</v>
      </c>
      <c r="M106" t="s">
        <v>489</v>
      </c>
      <c r="N106" t="s">
        <v>489</v>
      </c>
      <c r="O106" t="s">
        <v>490</v>
      </c>
      <c r="P106" t="s">
        <v>490</v>
      </c>
      <c r="Q106" t="s">
        <v>490</v>
      </c>
      <c r="R106" t="s">
        <v>490</v>
      </c>
      <c r="S106" t="s">
        <v>490</v>
      </c>
      <c r="T106" t="s">
        <v>489</v>
      </c>
      <c r="U106" t="s">
        <v>490</v>
      </c>
      <c r="V106" t="s">
        <v>490</v>
      </c>
      <c r="W106" t="s">
        <v>489</v>
      </c>
      <c r="X106" t="s">
        <v>489</v>
      </c>
      <c r="Y106" t="s">
        <v>490</v>
      </c>
      <c r="Z106" t="s">
        <v>490</v>
      </c>
      <c r="AA106" t="s">
        <v>490</v>
      </c>
      <c r="AB106" t="s">
        <v>489</v>
      </c>
      <c r="AC106" t="s">
        <v>489</v>
      </c>
      <c r="AD106" t="s">
        <v>489</v>
      </c>
      <c r="AE106" t="s">
        <v>490</v>
      </c>
      <c r="AF106" t="s">
        <v>489</v>
      </c>
      <c r="AG106" t="s">
        <v>490</v>
      </c>
      <c r="AH106" t="s">
        <v>490</v>
      </c>
      <c r="AI106" t="s">
        <v>489</v>
      </c>
      <c r="AJ106" t="s">
        <v>490</v>
      </c>
      <c r="AK106" t="s">
        <v>490</v>
      </c>
      <c r="AL106" t="s">
        <v>489</v>
      </c>
      <c r="AM106" t="s">
        <v>490</v>
      </c>
      <c r="AN106" t="s">
        <v>490</v>
      </c>
      <c r="AO106" t="s">
        <v>489</v>
      </c>
      <c r="AP106" t="s">
        <v>490</v>
      </c>
      <c r="AQ106" t="s">
        <v>490</v>
      </c>
      <c r="AR106" t="s">
        <v>489</v>
      </c>
      <c r="AS106" t="s">
        <v>490</v>
      </c>
      <c r="AT106" t="s">
        <v>490</v>
      </c>
      <c r="AU106" t="s">
        <v>489</v>
      </c>
      <c r="AV106" t="s">
        <v>490</v>
      </c>
      <c r="AW106" t="s">
        <v>490</v>
      </c>
      <c r="AX106" t="s">
        <v>489</v>
      </c>
      <c r="AY106" t="s">
        <v>489</v>
      </c>
      <c r="AZ106" t="s">
        <v>490</v>
      </c>
      <c r="BA106" t="s">
        <v>489</v>
      </c>
      <c r="BB106" t="s">
        <v>489</v>
      </c>
      <c r="BC106" t="s">
        <v>490</v>
      </c>
      <c r="BD106" t="s">
        <v>489</v>
      </c>
      <c r="BE106" t="s">
        <v>489</v>
      </c>
      <c r="BF106" t="s">
        <v>490</v>
      </c>
      <c r="BG106" t="s">
        <v>490</v>
      </c>
      <c r="BH106" t="s">
        <v>489</v>
      </c>
      <c r="BI106" t="s">
        <v>490</v>
      </c>
      <c r="BJ106" t="s">
        <v>489</v>
      </c>
      <c r="BK106" t="s">
        <v>489</v>
      </c>
      <c r="BL106" t="s">
        <v>490</v>
      </c>
      <c r="BM106" t="s">
        <v>489</v>
      </c>
      <c r="BN106" t="s">
        <v>489</v>
      </c>
      <c r="BO106" t="s">
        <v>490</v>
      </c>
      <c r="BP106" t="s">
        <v>489</v>
      </c>
      <c r="BQ106" t="s">
        <v>490</v>
      </c>
      <c r="BR106" t="s">
        <v>490</v>
      </c>
      <c r="BS106" t="s">
        <v>489</v>
      </c>
      <c r="BT106" t="s">
        <v>490</v>
      </c>
      <c r="BU106" t="s">
        <v>490</v>
      </c>
      <c r="BV106" t="s">
        <v>489</v>
      </c>
      <c r="BW106" t="s">
        <v>489</v>
      </c>
      <c r="BX106" t="s">
        <v>490</v>
      </c>
      <c r="BY106" t="s">
        <v>489</v>
      </c>
      <c r="BZ106" t="s">
        <v>490</v>
      </c>
      <c r="CA106" t="s">
        <v>490</v>
      </c>
      <c r="EY106">
        <v>80</v>
      </c>
      <c r="EZ106">
        <v>10</v>
      </c>
      <c r="FA106">
        <v>20</v>
      </c>
      <c r="FB106" t="s">
        <v>491</v>
      </c>
      <c r="OH106" s="15">
        <v>0</v>
      </c>
      <c r="OI106" s="15">
        <v>0</v>
      </c>
      <c r="OJ106" s="15">
        <v>0</v>
      </c>
      <c r="OK106" s="15">
        <v>0</v>
      </c>
      <c r="OL106" s="15">
        <v>0</v>
      </c>
      <c r="OM106" s="15">
        <v>0</v>
      </c>
      <c r="ON106" s="15">
        <v>0</v>
      </c>
      <c r="OO106" s="15">
        <v>0</v>
      </c>
    </row>
    <row r="107" spans="1:486">
      <c r="A107">
        <v>11884</v>
      </c>
      <c r="B107" t="s">
        <v>506</v>
      </c>
      <c r="C107" t="s">
        <v>974</v>
      </c>
      <c r="D107" t="s">
        <v>507</v>
      </c>
      <c r="E107" t="s">
        <v>500</v>
      </c>
      <c r="F107" t="s">
        <v>496</v>
      </c>
      <c r="G107">
        <v>10.8</v>
      </c>
      <c r="H107" t="s">
        <v>487</v>
      </c>
      <c r="I107" t="s">
        <v>487</v>
      </c>
      <c r="J107" t="s">
        <v>487</v>
      </c>
      <c r="K107" t="s">
        <v>488</v>
      </c>
      <c r="L107" t="s">
        <v>489</v>
      </c>
      <c r="M107" t="s">
        <v>489</v>
      </c>
      <c r="N107" t="s">
        <v>489</v>
      </c>
      <c r="O107" t="s">
        <v>489</v>
      </c>
      <c r="P107" t="s">
        <v>490</v>
      </c>
      <c r="Q107" t="s">
        <v>490</v>
      </c>
      <c r="R107" t="s">
        <v>489</v>
      </c>
      <c r="S107" t="s">
        <v>490</v>
      </c>
      <c r="T107" t="s">
        <v>489</v>
      </c>
      <c r="U107" t="s">
        <v>490</v>
      </c>
      <c r="V107" t="s">
        <v>490</v>
      </c>
      <c r="W107" t="s">
        <v>489</v>
      </c>
      <c r="X107" t="s">
        <v>490</v>
      </c>
      <c r="Y107" t="s">
        <v>490</v>
      </c>
      <c r="Z107" t="s">
        <v>490</v>
      </c>
      <c r="AA107" t="s">
        <v>490</v>
      </c>
      <c r="AB107" t="s">
        <v>489</v>
      </c>
      <c r="AC107" t="s">
        <v>489</v>
      </c>
      <c r="AD107" t="s">
        <v>489</v>
      </c>
      <c r="AE107" t="s">
        <v>490</v>
      </c>
      <c r="AF107" t="s">
        <v>489</v>
      </c>
      <c r="AG107" t="s">
        <v>490</v>
      </c>
      <c r="AH107" t="s">
        <v>490</v>
      </c>
      <c r="AI107" t="s">
        <v>489</v>
      </c>
      <c r="AJ107" t="s">
        <v>490</v>
      </c>
      <c r="AK107" t="s">
        <v>490</v>
      </c>
      <c r="AL107" t="s">
        <v>489</v>
      </c>
      <c r="AM107" t="s">
        <v>490</v>
      </c>
      <c r="AN107" t="s">
        <v>490</v>
      </c>
      <c r="AO107" t="s">
        <v>489</v>
      </c>
      <c r="AP107" t="s">
        <v>490</v>
      </c>
      <c r="AQ107" t="s">
        <v>490</v>
      </c>
      <c r="AR107" t="s">
        <v>489</v>
      </c>
      <c r="AS107" t="s">
        <v>489</v>
      </c>
      <c r="AT107" t="s">
        <v>490</v>
      </c>
      <c r="AU107" t="s">
        <v>489</v>
      </c>
      <c r="AV107" t="s">
        <v>490</v>
      </c>
      <c r="AW107" t="s">
        <v>490</v>
      </c>
      <c r="AX107" t="s">
        <v>489</v>
      </c>
      <c r="AY107" t="s">
        <v>490</v>
      </c>
      <c r="AZ107" t="s">
        <v>490</v>
      </c>
      <c r="BA107" t="s">
        <v>489</v>
      </c>
      <c r="BB107" t="s">
        <v>490</v>
      </c>
      <c r="BC107" t="s">
        <v>490</v>
      </c>
      <c r="BD107" t="s">
        <v>489</v>
      </c>
      <c r="BE107" t="s">
        <v>490</v>
      </c>
      <c r="BF107" t="s">
        <v>490</v>
      </c>
      <c r="BG107" t="s">
        <v>489</v>
      </c>
      <c r="BH107" t="s">
        <v>490</v>
      </c>
      <c r="BI107" t="s">
        <v>490</v>
      </c>
      <c r="BJ107" t="s">
        <v>489</v>
      </c>
      <c r="BK107" t="s">
        <v>489</v>
      </c>
      <c r="BL107" t="s">
        <v>490</v>
      </c>
      <c r="BM107" t="s">
        <v>489</v>
      </c>
      <c r="BN107" t="s">
        <v>490</v>
      </c>
      <c r="BO107" t="s">
        <v>490</v>
      </c>
      <c r="BP107" t="s">
        <v>489</v>
      </c>
      <c r="BQ107" t="s">
        <v>490</v>
      </c>
      <c r="BR107" t="s">
        <v>490</v>
      </c>
      <c r="BS107" t="s">
        <v>489</v>
      </c>
      <c r="BT107" t="s">
        <v>490</v>
      </c>
      <c r="BU107" t="s">
        <v>490</v>
      </c>
      <c r="BV107" t="s">
        <v>489</v>
      </c>
      <c r="BW107" t="s">
        <v>490</v>
      </c>
      <c r="BX107" t="s">
        <v>490</v>
      </c>
      <c r="BY107" t="s">
        <v>489</v>
      </c>
      <c r="BZ107" t="s">
        <v>490</v>
      </c>
      <c r="CA107" t="s">
        <v>490</v>
      </c>
      <c r="CB107" t="s">
        <v>489</v>
      </c>
      <c r="CC107" t="s">
        <v>490</v>
      </c>
      <c r="CD107" t="s">
        <v>490</v>
      </c>
      <c r="CE107" t="s">
        <v>489</v>
      </c>
      <c r="CF107" t="s">
        <v>490</v>
      </c>
      <c r="CG107" t="s">
        <v>490</v>
      </c>
      <c r="CH107" t="s">
        <v>489</v>
      </c>
      <c r="CI107" t="s">
        <v>490</v>
      </c>
      <c r="CJ107" t="s">
        <v>490</v>
      </c>
      <c r="CK107" t="s">
        <v>489</v>
      </c>
      <c r="CL107" t="s">
        <v>490</v>
      </c>
      <c r="CM107" t="s">
        <v>490</v>
      </c>
      <c r="CN107" t="s">
        <v>489</v>
      </c>
      <c r="CO107" t="s">
        <v>490</v>
      </c>
      <c r="CP107" t="s">
        <v>490</v>
      </c>
      <c r="DI107" t="s">
        <v>489</v>
      </c>
      <c r="DJ107" t="s">
        <v>490</v>
      </c>
      <c r="DK107" t="s">
        <v>490</v>
      </c>
      <c r="DL107" t="s">
        <v>489</v>
      </c>
      <c r="DM107" t="s">
        <v>490</v>
      </c>
      <c r="DN107" t="s">
        <v>490</v>
      </c>
      <c r="DO107" t="s">
        <v>490</v>
      </c>
      <c r="DP107" t="s">
        <v>490</v>
      </c>
      <c r="DQ107" t="s">
        <v>489</v>
      </c>
      <c r="DR107" t="s">
        <v>489</v>
      </c>
      <c r="DS107" t="s">
        <v>490</v>
      </c>
      <c r="DT107" t="s">
        <v>490</v>
      </c>
      <c r="DU107" t="s">
        <v>489</v>
      </c>
      <c r="DV107" t="s">
        <v>490</v>
      </c>
      <c r="DW107" t="s">
        <v>490</v>
      </c>
      <c r="DX107" t="s">
        <v>489</v>
      </c>
      <c r="DY107" t="s">
        <v>490</v>
      </c>
      <c r="DZ107" t="s">
        <v>490</v>
      </c>
      <c r="EY107">
        <v>65</v>
      </c>
      <c r="EZ107">
        <v>5</v>
      </c>
      <c r="FA107">
        <v>15</v>
      </c>
      <c r="FB107" t="s">
        <v>491</v>
      </c>
      <c r="OH107" s="15">
        <v>0</v>
      </c>
      <c r="OI107" s="15">
        <v>0</v>
      </c>
      <c r="OJ107" s="15">
        <v>0</v>
      </c>
      <c r="OK107" s="15">
        <v>0</v>
      </c>
      <c r="OL107" s="15">
        <v>0</v>
      </c>
      <c r="OM107" s="15">
        <v>0</v>
      </c>
      <c r="ON107" s="15">
        <v>0</v>
      </c>
      <c r="OO107" s="15">
        <v>0</v>
      </c>
    </row>
    <row r="108" spans="1:486">
      <c r="A108">
        <v>1003546</v>
      </c>
      <c r="B108" t="s">
        <v>506</v>
      </c>
      <c r="C108" t="s">
        <v>974</v>
      </c>
      <c r="D108" t="s">
        <v>507</v>
      </c>
      <c r="E108" t="s">
        <v>500</v>
      </c>
      <c r="F108" t="s">
        <v>509</v>
      </c>
      <c r="G108">
        <v>7</v>
      </c>
      <c r="H108" t="s">
        <v>487</v>
      </c>
      <c r="I108" t="s">
        <v>487</v>
      </c>
      <c r="J108" t="s">
        <v>487</v>
      </c>
      <c r="K108" t="s">
        <v>487</v>
      </c>
      <c r="L108" t="s">
        <v>489</v>
      </c>
      <c r="M108" t="s">
        <v>489</v>
      </c>
      <c r="N108" t="s">
        <v>489</v>
      </c>
      <c r="O108" t="s">
        <v>489</v>
      </c>
      <c r="P108" t="s">
        <v>490</v>
      </c>
      <c r="Q108" t="s">
        <v>490</v>
      </c>
      <c r="R108" t="s">
        <v>489</v>
      </c>
      <c r="S108" t="s">
        <v>490</v>
      </c>
      <c r="T108" t="s">
        <v>489</v>
      </c>
      <c r="U108" t="s">
        <v>489</v>
      </c>
      <c r="V108" t="s">
        <v>490</v>
      </c>
      <c r="W108" t="s">
        <v>489</v>
      </c>
      <c r="X108" t="s">
        <v>489</v>
      </c>
      <c r="Y108" t="s">
        <v>490</v>
      </c>
      <c r="Z108" t="s">
        <v>490</v>
      </c>
      <c r="AA108" t="s">
        <v>490</v>
      </c>
      <c r="AB108" t="s">
        <v>489</v>
      </c>
      <c r="AC108" t="s">
        <v>489</v>
      </c>
      <c r="AD108" t="s">
        <v>489</v>
      </c>
      <c r="AE108" t="s">
        <v>490</v>
      </c>
      <c r="AF108" t="s">
        <v>489</v>
      </c>
      <c r="AG108" t="s">
        <v>490</v>
      </c>
      <c r="AH108" t="s">
        <v>490</v>
      </c>
      <c r="AI108" t="s">
        <v>489</v>
      </c>
      <c r="AJ108" t="s">
        <v>490</v>
      </c>
      <c r="AK108" t="s">
        <v>490</v>
      </c>
      <c r="AL108" t="s">
        <v>489</v>
      </c>
      <c r="AM108" t="s">
        <v>490</v>
      </c>
      <c r="AN108" t="s">
        <v>490</v>
      </c>
      <c r="AO108" t="s">
        <v>489</v>
      </c>
      <c r="AP108" t="s">
        <v>490</v>
      </c>
      <c r="AQ108" t="s">
        <v>490</v>
      </c>
      <c r="AR108" t="s">
        <v>489</v>
      </c>
      <c r="AS108" t="s">
        <v>489</v>
      </c>
      <c r="AT108" t="s">
        <v>490</v>
      </c>
      <c r="AU108" t="s">
        <v>489</v>
      </c>
      <c r="AV108" t="s">
        <v>490</v>
      </c>
      <c r="AW108" t="s">
        <v>490</v>
      </c>
      <c r="AX108" t="s">
        <v>489</v>
      </c>
      <c r="AY108" t="s">
        <v>489</v>
      </c>
      <c r="AZ108" t="s">
        <v>490</v>
      </c>
      <c r="BA108" t="s">
        <v>489</v>
      </c>
      <c r="BB108" t="s">
        <v>489</v>
      </c>
      <c r="BC108" t="s">
        <v>490</v>
      </c>
      <c r="BD108" t="s">
        <v>489</v>
      </c>
      <c r="BE108" t="s">
        <v>489</v>
      </c>
      <c r="BF108" t="s">
        <v>490</v>
      </c>
      <c r="BG108" t="s">
        <v>489</v>
      </c>
      <c r="BH108" t="s">
        <v>490</v>
      </c>
      <c r="BI108" t="s">
        <v>490</v>
      </c>
      <c r="BJ108" t="s">
        <v>489</v>
      </c>
      <c r="BK108" t="s">
        <v>489</v>
      </c>
      <c r="BL108" t="s">
        <v>490</v>
      </c>
      <c r="BM108" t="s">
        <v>489</v>
      </c>
      <c r="BN108" t="s">
        <v>490</v>
      </c>
      <c r="BO108" t="s">
        <v>490</v>
      </c>
      <c r="BP108" t="s">
        <v>489</v>
      </c>
      <c r="BQ108" t="s">
        <v>490</v>
      </c>
      <c r="BR108" t="s">
        <v>490</v>
      </c>
      <c r="BS108" t="s">
        <v>490</v>
      </c>
      <c r="BT108" t="s">
        <v>490</v>
      </c>
      <c r="BU108" t="s">
        <v>489</v>
      </c>
      <c r="BV108" t="s">
        <v>489</v>
      </c>
      <c r="BW108" t="s">
        <v>489</v>
      </c>
      <c r="BX108" t="s">
        <v>490</v>
      </c>
      <c r="BY108" t="s">
        <v>489</v>
      </c>
      <c r="BZ108" t="s">
        <v>489</v>
      </c>
      <c r="CA108" t="s">
        <v>490</v>
      </c>
      <c r="CB108" t="s">
        <v>490</v>
      </c>
      <c r="CC108" t="s">
        <v>490</v>
      </c>
      <c r="CD108" t="s">
        <v>489</v>
      </c>
      <c r="CE108" t="s">
        <v>490</v>
      </c>
      <c r="CF108" t="s">
        <v>490</v>
      </c>
      <c r="CG108" t="s">
        <v>489</v>
      </c>
      <c r="CH108" t="s">
        <v>490</v>
      </c>
      <c r="CI108" t="s">
        <v>490</v>
      </c>
      <c r="CJ108" t="s">
        <v>489</v>
      </c>
      <c r="CK108" t="s">
        <v>490</v>
      </c>
      <c r="CL108" t="s">
        <v>490</v>
      </c>
      <c r="CM108" t="s">
        <v>489</v>
      </c>
      <c r="CN108" t="s">
        <v>490</v>
      </c>
      <c r="CO108" t="s">
        <v>490</v>
      </c>
      <c r="CP108" t="s">
        <v>489</v>
      </c>
      <c r="DI108" t="s">
        <v>489</v>
      </c>
      <c r="DJ108" t="s">
        <v>490</v>
      </c>
      <c r="DK108" t="s">
        <v>490</v>
      </c>
      <c r="DL108" t="s">
        <v>489</v>
      </c>
      <c r="DM108" t="s">
        <v>490</v>
      </c>
      <c r="DN108" t="s">
        <v>490</v>
      </c>
      <c r="DO108" t="s">
        <v>490</v>
      </c>
      <c r="DP108" t="s">
        <v>490</v>
      </c>
      <c r="DQ108" t="s">
        <v>489</v>
      </c>
      <c r="DR108" t="s">
        <v>489</v>
      </c>
      <c r="DS108" t="s">
        <v>489</v>
      </c>
      <c r="DT108" t="s">
        <v>490</v>
      </c>
      <c r="DU108" t="s">
        <v>489</v>
      </c>
      <c r="DV108" t="s">
        <v>490</v>
      </c>
      <c r="DW108" t="s">
        <v>490</v>
      </c>
      <c r="DX108" t="s">
        <v>490</v>
      </c>
      <c r="DY108" t="s">
        <v>490</v>
      </c>
      <c r="DZ108" t="s">
        <v>489</v>
      </c>
      <c r="EY108">
        <v>98</v>
      </c>
      <c r="EZ108">
        <v>1</v>
      </c>
      <c r="FA108">
        <v>99</v>
      </c>
      <c r="FB108" t="s">
        <v>491</v>
      </c>
      <c r="OH108" s="15">
        <v>0</v>
      </c>
      <c r="OI108" s="15">
        <v>0</v>
      </c>
      <c r="OJ108" s="15">
        <v>0</v>
      </c>
      <c r="OK108" s="15">
        <v>0</v>
      </c>
      <c r="OL108" s="15">
        <v>0</v>
      </c>
      <c r="OM108" s="15">
        <v>0</v>
      </c>
      <c r="ON108" s="15">
        <v>0</v>
      </c>
      <c r="OO108" s="15">
        <v>0</v>
      </c>
    </row>
    <row r="109" spans="1:486">
      <c r="A109">
        <v>1004059</v>
      </c>
      <c r="B109" t="s">
        <v>506</v>
      </c>
      <c r="C109" t="s">
        <v>974</v>
      </c>
      <c r="D109" t="s">
        <v>507</v>
      </c>
      <c r="E109" t="s">
        <v>500</v>
      </c>
      <c r="F109" t="s">
        <v>509</v>
      </c>
      <c r="G109">
        <v>39.53</v>
      </c>
      <c r="H109" t="s">
        <v>487</v>
      </c>
      <c r="I109" t="s">
        <v>487</v>
      </c>
      <c r="J109" t="s">
        <v>487</v>
      </c>
      <c r="K109" t="s">
        <v>487</v>
      </c>
      <c r="L109" t="s">
        <v>489</v>
      </c>
      <c r="M109" t="s">
        <v>489</v>
      </c>
      <c r="N109" t="s">
        <v>489</v>
      </c>
      <c r="O109" t="s">
        <v>489</v>
      </c>
      <c r="P109" t="s">
        <v>490</v>
      </c>
      <c r="Q109" t="s">
        <v>490</v>
      </c>
      <c r="R109" t="s">
        <v>489</v>
      </c>
      <c r="S109" t="s">
        <v>490</v>
      </c>
      <c r="T109" t="s">
        <v>489</v>
      </c>
      <c r="U109" t="s">
        <v>490</v>
      </c>
      <c r="V109" t="s">
        <v>490</v>
      </c>
      <c r="W109" t="s">
        <v>489</v>
      </c>
      <c r="X109" t="s">
        <v>490</v>
      </c>
      <c r="Y109" t="s">
        <v>490</v>
      </c>
      <c r="Z109" t="s">
        <v>490</v>
      </c>
      <c r="AA109" t="s">
        <v>489</v>
      </c>
      <c r="AB109" t="s">
        <v>490</v>
      </c>
      <c r="AC109" t="s">
        <v>489</v>
      </c>
      <c r="AD109" t="s">
        <v>489</v>
      </c>
      <c r="AE109" t="s">
        <v>490</v>
      </c>
      <c r="AF109" t="s">
        <v>489</v>
      </c>
      <c r="AG109" t="s">
        <v>490</v>
      </c>
      <c r="AH109" t="s">
        <v>490</v>
      </c>
      <c r="AI109" t="s">
        <v>489</v>
      </c>
      <c r="AJ109" t="s">
        <v>490</v>
      </c>
      <c r="AK109" t="s">
        <v>490</v>
      </c>
      <c r="AL109" t="s">
        <v>489</v>
      </c>
      <c r="AM109" t="s">
        <v>489</v>
      </c>
      <c r="AN109" t="s">
        <v>490</v>
      </c>
      <c r="AO109" t="s">
        <v>489</v>
      </c>
      <c r="AP109" t="s">
        <v>489</v>
      </c>
      <c r="AQ109" t="s">
        <v>490</v>
      </c>
      <c r="AR109" t="s">
        <v>489</v>
      </c>
      <c r="AS109" t="s">
        <v>489</v>
      </c>
      <c r="AT109" t="s">
        <v>490</v>
      </c>
      <c r="AU109" t="s">
        <v>489</v>
      </c>
      <c r="AV109" t="s">
        <v>490</v>
      </c>
      <c r="AW109" t="s">
        <v>490</v>
      </c>
      <c r="FB109" t="s">
        <v>543</v>
      </c>
      <c r="OH109" s="15">
        <v>0</v>
      </c>
      <c r="OI109" s="15">
        <v>0</v>
      </c>
      <c r="OJ109" s="15">
        <v>0</v>
      </c>
      <c r="OK109" s="15">
        <v>0</v>
      </c>
      <c r="OL109" s="15">
        <v>0</v>
      </c>
      <c r="OM109" s="15">
        <v>0</v>
      </c>
      <c r="ON109" s="15">
        <v>0</v>
      </c>
      <c r="OO109" s="15">
        <v>0</v>
      </c>
    </row>
    <row r="110" spans="1:486">
      <c r="A110">
        <v>11938</v>
      </c>
      <c r="B110" t="s">
        <v>506</v>
      </c>
      <c r="C110" t="s">
        <v>974</v>
      </c>
      <c r="D110" t="s">
        <v>507</v>
      </c>
      <c r="E110" t="s">
        <v>500</v>
      </c>
      <c r="F110" t="s">
        <v>496</v>
      </c>
      <c r="G110">
        <v>39.53</v>
      </c>
      <c r="H110" t="s">
        <v>487</v>
      </c>
      <c r="I110" t="s">
        <v>487</v>
      </c>
      <c r="J110" t="s">
        <v>487</v>
      </c>
      <c r="K110" t="s">
        <v>487</v>
      </c>
      <c r="L110" t="s">
        <v>489</v>
      </c>
      <c r="M110" t="s">
        <v>489</v>
      </c>
      <c r="N110" t="s">
        <v>489</v>
      </c>
      <c r="O110" t="s">
        <v>489</v>
      </c>
      <c r="P110" t="s">
        <v>490</v>
      </c>
      <c r="Q110" t="s">
        <v>490</v>
      </c>
      <c r="R110" t="s">
        <v>489</v>
      </c>
      <c r="S110" t="s">
        <v>490</v>
      </c>
      <c r="T110" t="s">
        <v>489</v>
      </c>
      <c r="U110" t="s">
        <v>489</v>
      </c>
      <c r="V110" t="s">
        <v>490</v>
      </c>
      <c r="W110" t="s">
        <v>489</v>
      </c>
      <c r="X110" t="s">
        <v>489</v>
      </c>
      <c r="Y110" t="s">
        <v>490</v>
      </c>
      <c r="Z110" t="s">
        <v>490</v>
      </c>
      <c r="AA110" t="s">
        <v>490</v>
      </c>
      <c r="AB110" t="s">
        <v>489</v>
      </c>
      <c r="AC110" t="s">
        <v>489</v>
      </c>
      <c r="AD110" t="s">
        <v>489</v>
      </c>
      <c r="AE110" t="s">
        <v>490</v>
      </c>
      <c r="AF110" t="s">
        <v>489</v>
      </c>
      <c r="AG110" t="s">
        <v>490</v>
      </c>
      <c r="AH110" t="s">
        <v>490</v>
      </c>
      <c r="AI110" t="s">
        <v>489</v>
      </c>
      <c r="AJ110" t="s">
        <v>490</v>
      </c>
      <c r="AK110" t="s">
        <v>490</v>
      </c>
      <c r="AL110" t="s">
        <v>489</v>
      </c>
      <c r="AM110" t="s">
        <v>489</v>
      </c>
      <c r="AN110" t="s">
        <v>490</v>
      </c>
      <c r="AO110" t="s">
        <v>489</v>
      </c>
      <c r="AP110" t="s">
        <v>489</v>
      </c>
      <c r="AQ110" t="s">
        <v>490</v>
      </c>
      <c r="AR110" t="s">
        <v>489</v>
      </c>
      <c r="AS110" t="s">
        <v>490</v>
      </c>
      <c r="AT110" t="s">
        <v>490</v>
      </c>
      <c r="AU110" t="s">
        <v>490</v>
      </c>
      <c r="AV110" t="s">
        <v>490</v>
      </c>
      <c r="AW110" t="s">
        <v>489</v>
      </c>
      <c r="AX110" t="s">
        <v>489</v>
      </c>
      <c r="AY110" t="s">
        <v>489</v>
      </c>
      <c r="AZ110" t="s">
        <v>490</v>
      </c>
      <c r="BA110" t="s">
        <v>489</v>
      </c>
      <c r="BB110" t="s">
        <v>489</v>
      </c>
      <c r="BC110" t="s">
        <v>490</v>
      </c>
      <c r="BD110" t="s">
        <v>489</v>
      </c>
      <c r="BE110" t="s">
        <v>489</v>
      </c>
      <c r="BF110" t="s">
        <v>490</v>
      </c>
      <c r="BG110" t="s">
        <v>489</v>
      </c>
      <c r="BH110" t="s">
        <v>489</v>
      </c>
      <c r="BI110" t="s">
        <v>490</v>
      </c>
      <c r="BJ110" t="s">
        <v>489</v>
      </c>
      <c r="BK110" t="s">
        <v>489</v>
      </c>
      <c r="BL110" t="s">
        <v>490</v>
      </c>
      <c r="BM110" t="s">
        <v>489</v>
      </c>
      <c r="BN110" t="s">
        <v>489</v>
      </c>
      <c r="BO110" t="s">
        <v>490</v>
      </c>
      <c r="BP110" t="s">
        <v>489</v>
      </c>
      <c r="BQ110" t="s">
        <v>490</v>
      </c>
      <c r="BR110" t="s">
        <v>490</v>
      </c>
      <c r="BS110" t="s">
        <v>490</v>
      </c>
      <c r="BT110" t="s">
        <v>490</v>
      </c>
      <c r="BU110" t="s">
        <v>489</v>
      </c>
      <c r="BV110" t="s">
        <v>489</v>
      </c>
      <c r="BW110" t="s">
        <v>489</v>
      </c>
      <c r="BX110" t="s">
        <v>490</v>
      </c>
      <c r="BY110" t="s">
        <v>489</v>
      </c>
      <c r="BZ110" t="s">
        <v>489</v>
      </c>
      <c r="CA110" t="s">
        <v>490</v>
      </c>
      <c r="CB110" t="s">
        <v>490</v>
      </c>
      <c r="CC110" t="s">
        <v>490</v>
      </c>
      <c r="CD110" t="s">
        <v>489</v>
      </c>
      <c r="CE110" t="s">
        <v>490</v>
      </c>
      <c r="CF110" t="s">
        <v>490</v>
      </c>
      <c r="CG110" t="s">
        <v>489</v>
      </c>
      <c r="CH110" t="s">
        <v>489</v>
      </c>
      <c r="CI110" t="s">
        <v>490</v>
      </c>
      <c r="CJ110" t="s">
        <v>490</v>
      </c>
      <c r="CK110" t="s">
        <v>489</v>
      </c>
      <c r="CL110" t="s">
        <v>490</v>
      </c>
      <c r="CM110" t="s">
        <v>490</v>
      </c>
      <c r="CN110" t="s">
        <v>489</v>
      </c>
      <c r="CO110" t="s">
        <v>490</v>
      </c>
      <c r="CP110" t="s">
        <v>490</v>
      </c>
      <c r="FB110" t="s">
        <v>543</v>
      </c>
      <c r="OH110" s="15">
        <v>0</v>
      </c>
      <c r="OI110" s="15">
        <v>0</v>
      </c>
      <c r="OJ110" s="15">
        <v>0</v>
      </c>
      <c r="OK110" s="15">
        <v>0</v>
      </c>
      <c r="OL110" s="15">
        <v>0</v>
      </c>
      <c r="OM110" s="15">
        <v>0</v>
      </c>
      <c r="ON110" s="15">
        <v>0</v>
      </c>
      <c r="OO110" s="15">
        <v>0</v>
      </c>
    </row>
    <row r="111" spans="1:486">
      <c r="A111">
        <v>11869</v>
      </c>
      <c r="B111" t="s">
        <v>506</v>
      </c>
      <c r="C111" t="s">
        <v>974</v>
      </c>
      <c r="D111" t="s">
        <v>507</v>
      </c>
      <c r="E111" t="s">
        <v>500</v>
      </c>
      <c r="F111" t="s">
        <v>516</v>
      </c>
      <c r="G111">
        <v>256</v>
      </c>
      <c r="H111" t="s">
        <v>487</v>
      </c>
      <c r="I111" t="s">
        <v>487</v>
      </c>
      <c r="J111" t="s">
        <v>488</v>
      </c>
      <c r="K111" t="s">
        <v>519</v>
      </c>
      <c r="L111" t="s">
        <v>490</v>
      </c>
      <c r="M111" t="s">
        <v>489</v>
      </c>
      <c r="N111" t="s">
        <v>489</v>
      </c>
      <c r="O111" t="s">
        <v>490</v>
      </c>
      <c r="P111" t="s">
        <v>490</v>
      </c>
      <c r="Q111" t="s">
        <v>490</v>
      </c>
      <c r="R111" t="s">
        <v>490</v>
      </c>
      <c r="S111" t="s">
        <v>490</v>
      </c>
      <c r="AX111" t="s">
        <v>489</v>
      </c>
      <c r="AY111" t="s">
        <v>489</v>
      </c>
      <c r="AZ111" t="s">
        <v>490</v>
      </c>
      <c r="BA111" t="s">
        <v>489</v>
      </c>
      <c r="BB111" t="s">
        <v>490</v>
      </c>
      <c r="BC111" t="s">
        <v>490</v>
      </c>
      <c r="BD111" t="s">
        <v>489</v>
      </c>
      <c r="BE111" t="s">
        <v>489</v>
      </c>
      <c r="BF111" t="s">
        <v>490</v>
      </c>
      <c r="BG111" t="s">
        <v>489</v>
      </c>
      <c r="BH111" t="s">
        <v>490</v>
      </c>
      <c r="BI111" t="s">
        <v>490</v>
      </c>
      <c r="BJ111" t="s">
        <v>489</v>
      </c>
      <c r="BK111" t="s">
        <v>490</v>
      </c>
      <c r="BL111" t="s">
        <v>490</v>
      </c>
      <c r="BM111" t="s">
        <v>489</v>
      </c>
      <c r="BN111" t="s">
        <v>490</v>
      </c>
      <c r="BO111" t="s">
        <v>490</v>
      </c>
      <c r="BP111" t="s">
        <v>489</v>
      </c>
      <c r="BQ111" t="s">
        <v>490</v>
      </c>
      <c r="BR111" t="s">
        <v>490</v>
      </c>
      <c r="BS111" t="s">
        <v>489</v>
      </c>
      <c r="BT111" t="s">
        <v>489</v>
      </c>
      <c r="BU111" t="s">
        <v>490</v>
      </c>
      <c r="BV111" t="s">
        <v>489</v>
      </c>
      <c r="BW111" t="s">
        <v>490</v>
      </c>
      <c r="BX111" t="s">
        <v>490</v>
      </c>
      <c r="BY111" t="s">
        <v>489</v>
      </c>
      <c r="BZ111" t="s">
        <v>489</v>
      </c>
      <c r="CA111" t="s">
        <v>490</v>
      </c>
      <c r="EY111">
        <v>15</v>
      </c>
      <c r="EZ111">
        <v>0</v>
      </c>
      <c r="FA111">
        <v>90</v>
      </c>
      <c r="FB111" t="s">
        <v>543</v>
      </c>
      <c r="OH111" s="15">
        <v>0</v>
      </c>
      <c r="OI111" s="15">
        <v>0</v>
      </c>
      <c r="OJ111" s="15">
        <v>0</v>
      </c>
      <c r="OK111" s="15">
        <v>0</v>
      </c>
      <c r="OL111" s="15">
        <v>0</v>
      </c>
      <c r="OM111" s="15">
        <v>0</v>
      </c>
      <c r="ON111" s="15">
        <v>0</v>
      </c>
      <c r="OO111" s="15">
        <v>0</v>
      </c>
    </row>
    <row r="112" spans="1:486">
      <c r="A112">
        <v>1003564</v>
      </c>
      <c r="B112" t="s">
        <v>506</v>
      </c>
      <c r="C112" t="s">
        <v>974</v>
      </c>
      <c r="D112" t="s">
        <v>507</v>
      </c>
      <c r="E112" t="s">
        <v>500</v>
      </c>
      <c r="F112" t="s">
        <v>505</v>
      </c>
      <c r="G112">
        <v>5</v>
      </c>
      <c r="H112" t="s">
        <v>487</v>
      </c>
      <c r="I112" t="s">
        <v>487</v>
      </c>
      <c r="J112" t="s">
        <v>487</v>
      </c>
      <c r="K112" t="s">
        <v>488</v>
      </c>
      <c r="L112" t="s">
        <v>490</v>
      </c>
      <c r="M112" t="s">
        <v>489</v>
      </c>
      <c r="N112" t="s">
        <v>490</v>
      </c>
      <c r="O112" t="s">
        <v>490</v>
      </c>
      <c r="P112" t="s">
        <v>490</v>
      </c>
      <c r="Q112" t="s">
        <v>490</v>
      </c>
      <c r="R112" t="s">
        <v>490</v>
      </c>
      <c r="S112" t="s">
        <v>490</v>
      </c>
      <c r="FB112" t="s">
        <v>543</v>
      </c>
      <c r="OH112" s="15">
        <v>0</v>
      </c>
      <c r="OI112" s="15">
        <v>0</v>
      </c>
      <c r="OJ112" s="15">
        <v>0</v>
      </c>
      <c r="OK112" s="15">
        <v>0</v>
      </c>
      <c r="OL112" s="15">
        <v>0</v>
      </c>
      <c r="OM112" s="15">
        <v>0</v>
      </c>
      <c r="ON112" s="15">
        <v>0</v>
      </c>
      <c r="OO112" s="15">
        <v>0</v>
      </c>
    </row>
    <row r="113" spans="1:486">
      <c r="A113">
        <v>11480</v>
      </c>
      <c r="B113" t="s">
        <v>506</v>
      </c>
      <c r="C113" t="s">
        <v>974</v>
      </c>
      <c r="D113" t="s">
        <v>507</v>
      </c>
      <c r="E113" t="s">
        <v>500</v>
      </c>
      <c r="F113" t="s">
        <v>517</v>
      </c>
      <c r="G113">
        <v>13</v>
      </c>
      <c r="H113" t="s">
        <v>487</v>
      </c>
      <c r="I113" t="s">
        <v>487</v>
      </c>
      <c r="J113" t="s">
        <v>487</v>
      </c>
      <c r="K113" t="s">
        <v>488</v>
      </c>
      <c r="FB113" t="s">
        <v>543</v>
      </c>
      <c r="OH113" s="15">
        <v>0</v>
      </c>
      <c r="OI113" s="15">
        <v>0</v>
      </c>
      <c r="OJ113" s="15">
        <v>0</v>
      </c>
      <c r="OK113" s="15">
        <v>0</v>
      </c>
      <c r="OL113" s="15">
        <v>0</v>
      </c>
      <c r="OM113" s="15">
        <v>0</v>
      </c>
      <c r="ON113" s="15">
        <v>0</v>
      </c>
      <c r="OO113" s="15">
        <v>0</v>
      </c>
    </row>
    <row r="114" spans="1:486">
      <c r="A114">
        <v>1004351</v>
      </c>
      <c r="B114" t="s">
        <v>506</v>
      </c>
      <c r="C114" t="s">
        <v>974</v>
      </c>
      <c r="D114" t="s">
        <v>507</v>
      </c>
      <c r="E114" t="s">
        <v>500</v>
      </c>
      <c r="F114" t="s">
        <v>496</v>
      </c>
      <c r="G114">
        <v>32</v>
      </c>
      <c r="H114" t="s">
        <v>487</v>
      </c>
      <c r="I114" t="s">
        <v>487</v>
      </c>
      <c r="J114" t="s">
        <v>488</v>
      </c>
      <c r="K114" t="s">
        <v>487</v>
      </c>
      <c r="L114" t="s">
        <v>489</v>
      </c>
      <c r="M114" t="s">
        <v>489</v>
      </c>
      <c r="N114" t="s">
        <v>489</v>
      </c>
      <c r="O114" t="s">
        <v>490</v>
      </c>
      <c r="P114" t="s">
        <v>490</v>
      </c>
      <c r="Q114" t="s">
        <v>490</v>
      </c>
      <c r="R114" t="s">
        <v>490</v>
      </c>
      <c r="S114" t="s">
        <v>489</v>
      </c>
      <c r="T114" t="s">
        <v>489</v>
      </c>
      <c r="U114" t="s">
        <v>489</v>
      </c>
      <c r="V114" t="s">
        <v>490</v>
      </c>
      <c r="W114" t="s">
        <v>489</v>
      </c>
      <c r="X114" t="s">
        <v>489</v>
      </c>
      <c r="Y114" t="s">
        <v>490</v>
      </c>
      <c r="Z114" t="s">
        <v>490</v>
      </c>
      <c r="AA114" t="s">
        <v>490</v>
      </c>
      <c r="AB114" t="s">
        <v>489</v>
      </c>
      <c r="AC114" t="s">
        <v>490</v>
      </c>
      <c r="AD114" t="s">
        <v>490</v>
      </c>
      <c r="AE114" t="s">
        <v>489</v>
      </c>
      <c r="AF114" t="s">
        <v>489</v>
      </c>
      <c r="AG114" t="s">
        <v>489</v>
      </c>
      <c r="AH114" t="s">
        <v>490</v>
      </c>
      <c r="AI114" t="s">
        <v>489</v>
      </c>
      <c r="AJ114" t="s">
        <v>489</v>
      </c>
      <c r="AK114" t="s">
        <v>490</v>
      </c>
      <c r="AL114" t="s">
        <v>489</v>
      </c>
      <c r="AM114" t="s">
        <v>489</v>
      </c>
      <c r="AN114" t="s">
        <v>490</v>
      </c>
      <c r="AO114" t="s">
        <v>489</v>
      </c>
      <c r="AP114" t="s">
        <v>489</v>
      </c>
      <c r="AQ114" t="s">
        <v>490</v>
      </c>
      <c r="AR114" t="s">
        <v>489</v>
      </c>
      <c r="AS114" t="s">
        <v>489</v>
      </c>
      <c r="AT114" t="s">
        <v>490</v>
      </c>
      <c r="AU114" t="s">
        <v>489</v>
      </c>
      <c r="AV114" t="s">
        <v>489</v>
      </c>
      <c r="AW114" t="s">
        <v>490</v>
      </c>
      <c r="AX114" t="s">
        <v>489</v>
      </c>
      <c r="AY114" t="s">
        <v>490</v>
      </c>
      <c r="AZ114" t="s">
        <v>490</v>
      </c>
      <c r="BA114" t="s">
        <v>489</v>
      </c>
      <c r="BB114" t="s">
        <v>490</v>
      </c>
      <c r="BC114" t="s">
        <v>490</v>
      </c>
      <c r="BD114" t="s">
        <v>489</v>
      </c>
      <c r="BE114" t="s">
        <v>490</v>
      </c>
      <c r="BF114" t="s">
        <v>490</v>
      </c>
      <c r="BG114" t="s">
        <v>489</v>
      </c>
      <c r="BH114" t="s">
        <v>490</v>
      </c>
      <c r="BI114" t="s">
        <v>490</v>
      </c>
      <c r="BJ114" t="s">
        <v>489</v>
      </c>
      <c r="BK114" t="s">
        <v>489</v>
      </c>
      <c r="BL114" t="s">
        <v>490</v>
      </c>
      <c r="BM114" t="s">
        <v>490</v>
      </c>
      <c r="BN114" t="s">
        <v>490</v>
      </c>
      <c r="BO114" t="s">
        <v>489</v>
      </c>
      <c r="BP114" t="s">
        <v>490</v>
      </c>
      <c r="BQ114" t="s">
        <v>490</v>
      </c>
      <c r="BR114" t="s">
        <v>489</v>
      </c>
      <c r="BS114" t="s">
        <v>490</v>
      </c>
      <c r="BT114" t="s">
        <v>490</v>
      </c>
      <c r="BU114" t="s">
        <v>489</v>
      </c>
      <c r="BV114" t="s">
        <v>489</v>
      </c>
      <c r="BW114" t="s">
        <v>489</v>
      </c>
      <c r="BX114" t="s">
        <v>490</v>
      </c>
      <c r="BY114" t="s">
        <v>489</v>
      </c>
      <c r="BZ114" t="s">
        <v>489</v>
      </c>
      <c r="CA114" t="s">
        <v>490</v>
      </c>
      <c r="EA114" t="s">
        <v>490</v>
      </c>
      <c r="EB114" t="s">
        <v>489</v>
      </c>
      <c r="EC114" t="s">
        <v>490</v>
      </c>
      <c r="ED114" t="s">
        <v>490</v>
      </c>
      <c r="EE114" t="s">
        <v>490</v>
      </c>
      <c r="EF114" t="s">
        <v>489</v>
      </c>
      <c r="EG114" t="s">
        <v>490</v>
      </c>
      <c r="EH114" t="s">
        <v>490</v>
      </c>
      <c r="EI114" t="s">
        <v>489</v>
      </c>
      <c r="EJ114" t="s">
        <v>490</v>
      </c>
      <c r="EK114" t="s">
        <v>489</v>
      </c>
      <c r="EL114" t="s">
        <v>490</v>
      </c>
      <c r="EM114" t="s">
        <v>490</v>
      </c>
      <c r="EN114" t="s">
        <v>490</v>
      </c>
      <c r="EO114" t="s">
        <v>489</v>
      </c>
      <c r="EP114" t="s">
        <v>490</v>
      </c>
      <c r="EQ114" t="s">
        <v>489</v>
      </c>
      <c r="ER114" t="s">
        <v>490</v>
      </c>
      <c r="ES114" t="s">
        <v>490</v>
      </c>
      <c r="ET114" t="s">
        <v>489</v>
      </c>
      <c r="EU114" t="s">
        <v>490</v>
      </c>
      <c r="EV114" t="s">
        <v>490</v>
      </c>
      <c r="EW114" t="s">
        <v>489</v>
      </c>
      <c r="EX114" t="s">
        <v>490</v>
      </c>
      <c r="EY114">
        <v>15</v>
      </c>
      <c r="EZ114">
        <v>8</v>
      </c>
      <c r="FA114">
        <v>90</v>
      </c>
      <c r="FB114" t="s">
        <v>543</v>
      </c>
      <c r="OH114" s="15">
        <v>7</v>
      </c>
      <c r="OI114" s="15">
        <v>7</v>
      </c>
      <c r="OJ114" s="15">
        <v>4</v>
      </c>
      <c r="OK114" s="15">
        <v>1</v>
      </c>
      <c r="OL114" s="15">
        <v>8</v>
      </c>
      <c r="OM114" s="15">
        <v>9</v>
      </c>
      <c r="ON114" s="15">
        <v>8</v>
      </c>
      <c r="OO114" s="15">
        <v>9</v>
      </c>
      <c r="OQ114" t="s">
        <v>488</v>
      </c>
      <c r="OR114" t="s">
        <v>488</v>
      </c>
      <c r="PT114" t="s">
        <v>488</v>
      </c>
      <c r="PU114" t="s">
        <v>497</v>
      </c>
      <c r="PY114" t="s">
        <v>510</v>
      </c>
      <c r="PZ114" t="s">
        <v>510</v>
      </c>
      <c r="QA114">
        <v>50</v>
      </c>
      <c r="QB114">
        <v>50</v>
      </c>
      <c r="QC114">
        <v>90</v>
      </c>
      <c r="QD114">
        <v>10</v>
      </c>
      <c r="QE114" t="s">
        <v>508</v>
      </c>
      <c r="QZ114">
        <v>5</v>
      </c>
      <c r="RA114">
        <v>250</v>
      </c>
      <c r="RB114" t="s">
        <v>489</v>
      </c>
      <c r="RC114" t="s">
        <v>490</v>
      </c>
      <c r="RD114" t="s">
        <v>490</v>
      </c>
      <c r="RE114" t="s">
        <v>490</v>
      </c>
      <c r="RF114" t="s">
        <v>490</v>
      </c>
      <c r="RG114" t="s">
        <v>490</v>
      </c>
      <c r="RH114" t="s">
        <v>489</v>
      </c>
      <c r="RI114" t="s">
        <v>490</v>
      </c>
      <c r="RL114" t="s">
        <v>614</v>
      </c>
      <c r="RR114" t="s">
        <v>615</v>
      </c>
    </row>
    <row r="115" spans="1:486">
      <c r="A115">
        <v>11511</v>
      </c>
      <c r="B115" t="s">
        <v>506</v>
      </c>
      <c r="C115" t="s">
        <v>974</v>
      </c>
      <c r="D115" t="s">
        <v>507</v>
      </c>
      <c r="E115" t="s">
        <v>500</v>
      </c>
      <c r="F115" t="s">
        <v>505</v>
      </c>
      <c r="G115">
        <v>3.5</v>
      </c>
      <c r="H115" t="s">
        <v>487</v>
      </c>
      <c r="I115" t="s">
        <v>487</v>
      </c>
      <c r="J115" t="s">
        <v>487</v>
      </c>
      <c r="K115" t="s">
        <v>487</v>
      </c>
      <c r="L115" t="s">
        <v>489</v>
      </c>
      <c r="M115" t="s">
        <v>489</v>
      </c>
      <c r="N115" t="s">
        <v>489</v>
      </c>
      <c r="O115" t="s">
        <v>489</v>
      </c>
      <c r="P115" t="s">
        <v>490</v>
      </c>
      <c r="Q115" t="s">
        <v>490</v>
      </c>
      <c r="R115" t="s">
        <v>489</v>
      </c>
      <c r="S115" t="s">
        <v>489</v>
      </c>
      <c r="T115" t="s">
        <v>489</v>
      </c>
      <c r="U115" t="s">
        <v>490</v>
      </c>
      <c r="V115" t="s">
        <v>490</v>
      </c>
      <c r="W115" t="s">
        <v>489</v>
      </c>
      <c r="X115" t="s">
        <v>489</v>
      </c>
      <c r="Y115" t="s">
        <v>490</v>
      </c>
      <c r="Z115" t="s">
        <v>490</v>
      </c>
      <c r="AA115" t="s">
        <v>489</v>
      </c>
      <c r="AB115" t="s">
        <v>490</v>
      </c>
      <c r="AC115" t="s">
        <v>489</v>
      </c>
      <c r="AD115" t="s">
        <v>489</v>
      </c>
      <c r="AE115" t="s">
        <v>490</v>
      </c>
      <c r="AF115" t="s">
        <v>489</v>
      </c>
      <c r="AG115" t="s">
        <v>490</v>
      </c>
      <c r="AH115" t="s">
        <v>490</v>
      </c>
      <c r="AI115" t="s">
        <v>489</v>
      </c>
      <c r="AJ115" t="s">
        <v>489</v>
      </c>
      <c r="AK115" t="s">
        <v>490</v>
      </c>
      <c r="AL115" t="s">
        <v>490</v>
      </c>
      <c r="AM115" t="s">
        <v>490</v>
      </c>
      <c r="AN115" t="s">
        <v>489</v>
      </c>
      <c r="AO115" t="s">
        <v>489</v>
      </c>
      <c r="AP115" t="s">
        <v>490</v>
      </c>
      <c r="AQ115" t="s">
        <v>490</v>
      </c>
      <c r="AR115" t="s">
        <v>489</v>
      </c>
      <c r="AS115" t="s">
        <v>490</v>
      </c>
      <c r="AT115" t="s">
        <v>490</v>
      </c>
      <c r="AU115" t="s">
        <v>489</v>
      </c>
      <c r="AV115" t="s">
        <v>490</v>
      </c>
      <c r="AW115" t="s">
        <v>490</v>
      </c>
      <c r="AX115" t="s">
        <v>489</v>
      </c>
      <c r="AY115" t="s">
        <v>490</v>
      </c>
      <c r="AZ115" t="s">
        <v>490</v>
      </c>
      <c r="BA115" t="s">
        <v>490</v>
      </c>
      <c r="BB115" t="s">
        <v>490</v>
      </c>
      <c r="BC115" t="s">
        <v>489</v>
      </c>
      <c r="BD115" t="s">
        <v>489</v>
      </c>
      <c r="BE115" t="s">
        <v>490</v>
      </c>
      <c r="BF115" t="s">
        <v>490</v>
      </c>
      <c r="BG115" t="s">
        <v>489</v>
      </c>
      <c r="BH115" t="s">
        <v>490</v>
      </c>
      <c r="BI115" t="s">
        <v>490</v>
      </c>
      <c r="BJ115" t="s">
        <v>489</v>
      </c>
      <c r="BK115" t="s">
        <v>489</v>
      </c>
      <c r="BL115" t="s">
        <v>490</v>
      </c>
      <c r="BM115" t="s">
        <v>489</v>
      </c>
      <c r="BN115" t="s">
        <v>490</v>
      </c>
      <c r="BO115" t="s">
        <v>490</v>
      </c>
      <c r="BP115" t="s">
        <v>490</v>
      </c>
      <c r="BQ115" t="s">
        <v>490</v>
      </c>
      <c r="BR115" t="s">
        <v>489</v>
      </c>
      <c r="BS115" t="s">
        <v>489</v>
      </c>
      <c r="BT115" t="s">
        <v>490</v>
      </c>
      <c r="BU115" t="s">
        <v>490</v>
      </c>
      <c r="BV115" t="s">
        <v>490</v>
      </c>
      <c r="BW115" t="s">
        <v>490</v>
      </c>
      <c r="BX115" t="s">
        <v>489</v>
      </c>
      <c r="BY115" t="s">
        <v>489</v>
      </c>
      <c r="BZ115" t="s">
        <v>489</v>
      </c>
      <c r="CA115" t="s">
        <v>490</v>
      </c>
      <c r="CB115" t="s">
        <v>489</v>
      </c>
      <c r="CC115" t="s">
        <v>490</v>
      </c>
      <c r="CD115" t="s">
        <v>490</v>
      </c>
      <c r="CE115" t="s">
        <v>490</v>
      </c>
      <c r="CF115" t="s">
        <v>490</v>
      </c>
      <c r="CG115" t="s">
        <v>489</v>
      </c>
      <c r="CH115" t="s">
        <v>490</v>
      </c>
      <c r="CI115" t="s">
        <v>490</v>
      </c>
      <c r="CJ115" t="s">
        <v>489</v>
      </c>
      <c r="CK115" t="s">
        <v>490</v>
      </c>
      <c r="CL115" t="s">
        <v>490</v>
      </c>
      <c r="CM115" t="s">
        <v>489</v>
      </c>
      <c r="CN115" t="s">
        <v>490</v>
      </c>
      <c r="CO115" t="s">
        <v>490</v>
      </c>
      <c r="CP115" t="s">
        <v>489</v>
      </c>
      <c r="DI115" t="s">
        <v>490</v>
      </c>
      <c r="DJ115" t="s">
        <v>490</v>
      </c>
      <c r="DK115" t="s">
        <v>489</v>
      </c>
      <c r="DL115" t="s">
        <v>489</v>
      </c>
      <c r="DM115" t="s">
        <v>490</v>
      </c>
      <c r="DN115" t="s">
        <v>490</v>
      </c>
      <c r="DO115" t="s">
        <v>490</v>
      </c>
      <c r="DP115" t="s">
        <v>490</v>
      </c>
      <c r="DQ115" t="s">
        <v>489</v>
      </c>
      <c r="DR115" t="s">
        <v>489</v>
      </c>
      <c r="DS115" t="s">
        <v>490</v>
      </c>
      <c r="DT115" t="s">
        <v>490</v>
      </c>
      <c r="DU115" t="s">
        <v>489</v>
      </c>
      <c r="DV115" t="s">
        <v>490</v>
      </c>
      <c r="DW115" t="s">
        <v>490</v>
      </c>
      <c r="DX115" t="s">
        <v>490</v>
      </c>
      <c r="DY115" t="s">
        <v>490</v>
      </c>
      <c r="DZ115" t="s">
        <v>489</v>
      </c>
      <c r="EA115" t="s">
        <v>490</v>
      </c>
      <c r="EB115" t="s">
        <v>489</v>
      </c>
      <c r="EC115" t="s">
        <v>490</v>
      </c>
      <c r="ED115" t="s">
        <v>490</v>
      </c>
      <c r="EE115" t="s">
        <v>490</v>
      </c>
      <c r="EF115" t="s">
        <v>489</v>
      </c>
      <c r="EG115" t="s">
        <v>490</v>
      </c>
      <c r="EH115" t="s">
        <v>490</v>
      </c>
      <c r="EI115" t="s">
        <v>489</v>
      </c>
      <c r="EJ115" t="s">
        <v>490</v>
      </c>
      <c r="EK115" t="s">
        <v>490</v>
      </c>
      <c r="EL115" t="s">
        <v>489</v>
      </c>
      <c r="EM115" t="s">
        <v>490</v>
      </c>
      <c r="EN115" t="s">
        <v>490</v>
      </c>
      <c r="EO115" t="s">
        <v>489</v>
      </c>
      <c r="EP115" t="s">
        <v>490</v>
      </c>
      <c r="EQ115" t="s">
        <v>489</v>
      </c>
      <c r="ER115" t="s">
        <v>490</v>
      </c>
      <c r="ES115" t="s">
        <v>490</v>
      </c>
      <c r="ET115" t="s">
        <v>489</v>
      </c>
      <c r="EU115" t="s">
        <v>490</v>
      </c>
      <c r="EV115" t="s">
        <v>490</v>
      </c>
      <c r="EW115" t="s">
        <v>490</v>
      </c>
      <c r="EX115" t="s">
        <v>489</v>
      </c>
      <c r="EY115">
        <v>80</v>
      </c>
      <c r="EZ115">
        <v>1</v>
      </c>
      <c r="FA115">
        <v>10</v>
      </c>
      <c r="FB115" t="s">
        <v>543</v>
      </c>
      <c r="OH115" s="15">
        <v>9</v>
      </c>
      <c r="OI115" s="15">
        <v>8</v>
      </c>
      <c r="OJ115" s="15">
        <v>5</v>
      </c>
      <c r="OK115" s="15">
        <v>8</v>
      </c>
      <c r="OL115" s="15">
        <v>6</v>
      </c>
      <c r="OM115" s="15">
        <v>7</v>
      </c>
      <c r="ON115" s="15">
        <v>1</v>
      </c>
      <c r="OO115" s="15">
        <v>1</v>
      </c>
      <c r="OQ115" t="s">
        <v>488</v>
      </c>
      <c r="OR115" t="s">
        <v>519</v>
      </c>
      <c r="OY115">
        <v>2</v>
      </c>
      <c r="OZ115">
        <v>100</v>
      </c>
      <c r="PA115">
        <v>0</v>
      </c>
      <c r="PB115">
        <v>0</v>
      </c>
      <c r="PC115">
        <v>0</v>
      </c>
      <c r="PD115">
        <v>0</v>
      </c>
      <c r="PE115">
        <v>0</v>
      </c>
      <c r="PF115">
        <v>0</v>
      </c>
      <c r="PG115">
        <v>0</v>
      </c>
      <c r="PH115">
        <v>0</v>
      </c>
      <c r="PI115">
        <v>4</v>
      </c>
      <c r="PJ115">
        <v>100</v>
      </c>
      <c r="PK115">
        <v>0</v>
      </c>
      <c r="PL115">
        <v>0</v>
      </c>
      <c r="PM115">
        <v>0</v>
      </c>
      <c r="PN115">
        <v>0</v>
      </c>
      <c r="PO115">
        <v>0</v>
      </c>
      <c r="PP115">
        <v>0</v>
      </c>
      <c r="PQ115">
        <v>0</v>
      </c>
      <c r="PR115">
        <v>0</v>
      </c>
      <c r="PT115" t="s">
        <v>488</v>
      </c>
      <c r="PU115" t="s">
        <v>515</v>
      </c>
      <c r="PV115">
        <v>0</v>
      </c>
      <c r="PW115">
        <v>0</v>
      </c>
      <c r="PX115">
        <v>0</v>
      </c>
      <c r="PY115" t="s">
        <v>493</v>
      </c>
      <c r="PZ115" t="s">
        <v>493</v>
      </c>
      <c r="QA115">
        <v>50</v>
      </c>
      <c r="QB115">
        <v>50</v>
      </c>
      <c r="QC115">
        <v>20</v>
      </c>
      <c r="QD115">
        <v>80</v>
      </c>
      <c r="QE115" t="s">
        <v>508</v>
      </c>
      <c r="QZ115">
        <v>4</v>
      </c>
      <c r="RA115">
        <v>1</v>
      </c>
      <c r="RB115" t="s">
        <v>489</v>
      </c>
      <c r="RC115" t="s">
        <v>490</v>
      </c>
      <c r="RD115" t="s">
        <v>490</v>
      </c>
      <c r="RE115" t="s">
        <v>490</v>
      </c>
      <c r="RF115" t="s">
        <v>490</v>
      </c>
      <c r="RG115" t="s">
        <v>490</v>
      </c>
      <c r="RH115" t="s">
        <v>490</v>
      </c>
      <c r="RI115" t="s">
        <v>490</v>
      </c>
      <c r="RR115" t="s">
        <v>641</v>
      </c>
    </row>
    <row r="116" spans="1:486">
      <c r="A116">
        <v>1004497</v>
      </c>
      <c r="B116" t="s">
        <v>506</v>
      </c>
      <c r="C116" t="s">
        <v>974</v>
      </c>
      <c r="D116" t="s">
        <v>507</v>
      </c>
      <c r="E116" t="s">
        <v>500</v>
      </c>
      <c r="F116" t="s">
        <v>545</v>
      </c>
      <c r="G116">
        <v>4.7</v>
      </c>
      <c r="H116" t="s">
        <v>487</v>
      </c>
      <c r="I116" t="s">
        <v>487</v>
      </c>
      <c r="J116" t="s">
        <v>487</v>
      </c>
      <c r="K116" t="s">
        <v>487</v>
      </c>
      <c r="L116" t="s">
        <v>489</v>
      </c>
      <c r="M116" t="s">
        <v>489</v>
      </c>
      <c r="N116" t="s">
        <v>489</v>
      </c>
      <c r="O116" t="s">
        <v>489</v>
      </c>
      <c r="P116" t="s">
        <v>490</v>
      </c>
      <c r="Q116" t="s">
        <v>490</v>
      </c>
      <c r="R116" t="s">
        <v>489</v>
      </c>
      <c r="S116" t="s">
        <v>490</v>
      </c>
      <c r="T116" t="s">
        <v>490</v>
      </c>
      <c r="U116" t="s">
        <v>490</v>
      </c>
      <c r="V116" t="s">
        <v>489</v>
      </c>
      <c r="W116" t="s">
        <v>490</v>
      </c>
      <c r="X116" t="s">
        <v>490</v>
      </c>
      <c r="Y116" t="s">
        <v>489</v>
      </c>
      <c r="Z116" t="s">
        <v>490</v>
      </c>
      <c r="AA116" t="s">
        <v>490</v>
      </c>
      <c r="AB116" t="s">
        <v>489</v>
      </c>
      <c r="AC116" t="s">
        <v>489</v>
      </c>
      <c r="AD116" t="s">
        <v>490</v>
      </c>
      <c r="AE116" t="s">
        <v>490</v>
      </c>
      <c r="AF116" t="s">
        <v>489</v>
      </c>
      <c r="AG116" t="s">
        <v>490</v>
      </c>
      <c r="AH116" t="s">
        <v>490</v>
      </c>
      <c r="AI116" t="s">
        <v>489</v>
      </c>
      <c r="AJ116" t="s">
        <v>490</v>
      </c>
      <c r="AK116" t="s">
        <v>490</v>
      </c>
      <c r="AL116" t="s">
        <v>490</v>
      </c>
      <c r="AM116" t="s">
        <v>490</v>
      </c>
      <c r="AN116" t="s">
        <v>489</v>
      </c>
      <c r="AO116" t="s">
        <v>489</v>
      </c>
      <c r="AP116" t="s">
        <v>490</v>
      </c>
      <c r="AQ116" t="s">
        <v>490</v>
      </c>
      <c r="AR116" t="s">
        <v>489</v>
      </c>
      <c r="AS116" t="s">
        <v>490</v>
      </c>
      <c r="AT116" t="s">
        <v>490</v>
      </c>
      <c r="AU116" t="s">
        <v>489</v>
      </c>
      <c r="AV116" t="s">
        <v>490</v>
      </c>
      <c r="AW116" t="s">
        <v>490</v>
      </c>
      <c r="AX116" t="s">
        <v>489</v>
      </c>
      <c r="AY116" t="s">
        <v>490</v>
      </c>
      <c r="AZ116" t="s">
        <v>490</v>
      </c>
      <c r="BA116" t="s">
        <v>490</v>
      </c>
      <c r="BB116" t="s">
        <v>490</v>
      </c>
      <c r="BC116" t="s">
        <v>489</v>
      </c>
      <c r="BD116" t="s">
        <v>490</v>
      </c>
      <c r="BE116" t="s">
        <v>490</v>
      </c>
      <c r="BF116" t="s">
        <v>489</v>
      </c>
      <c r="BG116" t="s">
        <v>489</v>
      </c>
      <c r="BH116" t="s">
        <v>490</v>
      </c>
      <c r="BI116" t="s">
        <v>490</v>
      </c>
      <c r="BJ116" t="s">
        <v>489</v>
      </c>
      <c r="BK116" t="s">
        <v>490</v>
      </c>
      <c r="BL116" t="s">
        <v>490</v>
      </c>
      <c r="BM116" t="s">
        <v>489</v>
      </c>
      <c r="BN116" t="s">
        <v>490</v>
      </c>
      <c r="BO116" t="s">
        <v>490</v>
      </c>
      <c r="BP116" t="s">
        <v>490</v>
      </c>
      <c r="BQ116" t="s">
        <v>490</v>
      </c>
      <c r="BR116" t="s">
        <v>489</v>
      </c>
      <c r="BS116" t="s">
        <v>489</v>
      </c>
      <c r="BT116" t="s">
        <v>490</v>
      </c>
      <c r="BU116" t="s">
        <v>490</v>
      </c>
      <c r="BV116" t="s">
        <v>490</v>
      </c>
      <c r="BW116" t="s">
        <v>490</v>
      </c>
      <c r="BX116" t="s">
        <v>489</v>
      </c>
      <c r="BY116" t="s">
        <v>489</v>
      </c>
      <c r="BZ116" t="s">
        <v>489</v>
      </c>
      <c r="CA116" t="s">
        <v>490</v>
      </c>
      <c r="CB116" t="s">
        <v>489</v>
      </c>
      <c r="CC116" t="s">
        <v>490</v>
      </c>
      <c r="CD116" t="s">
        <v>490</v>
      </c>
      <c r="CE116" t="s">
        <v>490</v>
      </c>
      <c r="CF116" t="s">
        <v>490</v>
      </c>
      <c r="CG116" t="s">
        <v>489</v>
      </c>
      <c r="CH116" t="s">
        <v>489</v>
      </c>
      <c r="CI116" t="s">
        <v>490</v>
      </c>
      <c r="CJ116" t="s">
        <v>490</v>
      </c>
      <c r="CK116" t="s">
        <v>489</v>
      </c>
      <c r="CL116" t="s">
        <v>490</v>
      </c>
      <c r="CM116" t="s">
        <v>490</v>
      </c>
      <c r="CN116" t="s">
        <v>489</v>
      </c>
      <c r="CO116" t="s">
        <v>490</v>
      </c>
      <c r="CP116" t="s">
        <v>490</v>
      </c>
      <c r="DI116" t="s">
        <v>489</v>
      </c>
      <c r="DJ116" t="s">
        <v>489</v>
      </c>
      <c r="DK116" t="s">
        <v>490</v>
      </c>
      <c r="DL116" t="s">
        <v>489</v>
      </c>
      <c r="DM116" t="s">
        <v>489</v>
      </c>
      <c r="DN116" t="s">
        <v>490</v>
      </c>
      <c r="DO116" t="s">
        <v>490</v>
      </c>
      <c r="DP116" t="s">
        <v>490</v>
      </c>
      <c r="DQ116" t="s">
        <v>489</v>
      </c>
      <c r="DR116" t="s">
        <v>489</v>
      </c>
      <c r="DS116" t="s">
        <v>489</v>
      </c>
      <c r="DT116" t="s">
        <v>490</v>
      </c>
      <c r="DU116" t="s">
        <v>489</v>
      </c>
      <c r="DV116" t="s">
        <v>489</v>
      </c>
      <c r="DW116" t="s">
        <v>490</v>
      </c>
      <c r="DX116" t="s">
        <v>489</v>
      </c>
      <c r="DY116" t="s">
        <v>489</v>
      </c>
      <c r="DZ116" t="s">
        <v>490</v>
      </c>
      <c r="EY116">
        <v>80</v>
      </c>
      <c r="EZ116">
        <v>1</v>
      </c>
      <c r="FA116">
        <v>40</v>
      </c>
      <c r="FB116" t="s">
        <v>491</v>
      </c>
      <c r="JM116">
        <v>3000</v>
      </c>
      <c r="JY116">
        <v>1</v>
      </c>
      <c r="OH116" s="15">
        <v>10</v>
      </c>
      <c r="OI116" s="15">
        <v>1</v>
      </c>
      <c r="OJ116" s="15">
        <v>10</v>
      </c>
      <c r="OK116" s="15">
        <v>8</v>
      </c>
      <c r="OL116" s="15">
        <v>10</v>
      </c>
      <c r="OM116" s="15">
        <v>10</v>
      </c>
      <c r="ON116" s="15">
        <v>1</v>
      </c>
      <c r="OO116" s="15">
        <v>1</v>
      </c>
      <c r="OQ116" t="s">
        <v>519</v>
      </c>
      <c r="OR116" t="s">
        <v>488</v>
      </c>
      <c r="OY116">
        <v>0</v>
      </c>
      <c r="OZ116">
        <v>100</v>
      </c>
      <c r="PA116">
        <v>0</v>
      </c>
      <c r="PB116">
        <v>0</v>
      </c>
      <c r="PC116">
        <v>0</v>
      </c>
      <c r="PD116">
        <v>0</v>
      </c>
      <c r="PE116">
        <v>0</v>
      </c>
      <c r="PF116">
        <v>0</v>
      </c>
      <c r="PG116">
        <v>0</v>
      </c>
      <c r="PH116">
        <v>0</v>
      </c>
      <c r="PI116">
        <v>0</v>
      </c>
      <c r="PJ116">
        <v>100</v>
      </c>
      <c r="PK116">
        <v>0</v>
      </c>
      <c r="PL116">
        <v>0</v>
      </c>
      <c r="PM116">
        <v>0</v>
      </c>
      <c r="PN116">
        <v>0</v>
      </c>
      <c r="PO116">
        <v>0</v>
      </c>
      <c r="PP116">
        <v>0</v>
      </c>
      <c r="PQ116">
        <v>0</v>
      </c>
      <c r="PR116">
        <v>0</v>
      </c>
      <c r="PT116" t="s">
        <v>519</v>
      </c>
      <c r="PU116" t="s">
        <v>519</v>
      </c>
      <c r="PV116">
        <v>0</v>
      </c>
      <c r="PW116">
        <v>0</v>
      </c>
      <c r="PX116">
        <v>0</v>
      </c>
      <c r="PY116" t="s">
        <v>493</v>
      </c>
      <c r="PZ116" t="s">
        <v>493</v>
      </c>
      <c r="QA116">
        <v>80</v>
      </c>
      <c r="QB116">
        <v>20</v>
      </c>
      <c r="QC116">
        <v>50</v>
      </c>
      <c r="QD116">
        <v>50</v>
      </c>
      <c r="QE116" t="s">
        <v>508</v>
      </c>
      <c r="QZ116">
        <v>0</v>
      </c>
      <c r="RA116">
        <v>1</v>
      </c>
      <c r="RB116" t="s">
        <v>489</v>
      </c>
      <c r="RC116" t="s">
        <v>490</v>
      </c>
      <c r="RD116" t="s">
        <v>490</v>
      </c>
      <c r="RE116" t="s">
        <v>490</v>
      </c>
      <c r="RF116" t="s">
        <v>490</v>
      </c>
      <c r="RG116" t="s">
        <v>490</v>
      </c>
      <c r="RH116" t="s">
        <v>490</v>
      </c>
      <c r="RI116" t="s">
        <v>490</v>
      </c>
    </row>
    <row r="117" spans="1:486">
      <c r="A117">
        <v>11874</v>
      </c>
      <c r="B117" t="s">
        <v>503</v>
      </c>
      <c r="C117" t="s">
        <v>972</v>
      </c>
      <c r="D117" t="s">
        <v>498</v>
      </c>
      <c r="E117" t="s">
        <v>500</v>
      </c>
      <c r="F117" t="s">
        <v>509</v>
      </c>
      <c r="G117">
        <v>6.9</v>
      </c>
      <c r="H117" t="s">
        <v>487</v>
      </c>
      <c r="I117" t="s">
        <v>487</v>
      </c>
      <c r="J117" t="s">
        <v>487</v>
      </c>
      <c r="K117" t="s">
        <v>487</v>
      </c>
      <c r="L117" t="s">
        <v>489</v>
      </c>
      <c r="M117" t="s">
        <v>489</v>
      </c>
      <c r="N117" t="s">
        <v>489</v>
      </c>
      <c r="O117" t="s">
        <v>490</v>
      </c>
      <c r="P117" t="s">
        <v>490</v>
      </c>
      <c r="Q117" t="s">
        <v>490</v>
      </c>
      <c r="R117" t="s">
        <v>489</v>
      </c>
      <c r="S117" t="s">
        <v>489</v>
      </c>
      <c r="T117" t="s">
        <v>489</v>
      </c>
      <c r="U117" t="s">
        <v>489</v>
      </c>
      <c r="V117" t="s">
        <v>490</v>
      </c>
      <c r="W117" t="s">
        <v>489</v>
      </c>
      <c r="X117" t="s">
        <v>490</v>
      </c>
      <c r="Y117" t="s">
        <v>490</v>
      </c>
      <c r="Z117" t="s">
        <v>490</v>
      </c>
      <c r="AA117" t="s">
        <v>490</v>
      </c>
      <c r="AB117" t="s">
        <v>489</v>
      </c>
      <c r="AC117" t="s">
        <v>489</v>
      </c>
      <c r="AD117" t="s">
        <v>490</v>
      </c>
      <c r="AE117" t="s">
        <v>490</v>
      </c>
      <c r="AF117" t="s">
        <v>489</v>
      </c>
      <c r="AG117" t="s">
        <v>490</v>
      </c>
      <c r="AH117" t="s">
        <v>490</v>
      </c>
      <c r="AI117" t="s">
        <v>489</v>
      </c>
      <c r="AJ117" t="s">
        <v>490</v>
      </c>
      <c r="AK117" t="s">
        <v>490</v>
      </c>
      <c r="AL117" t="s">
        <v>489</v>
      </c>
      <c r="AM117" t="s">
        <v>490</v>
      </c>
      <c r="AN117" t="s">
        <v>490</v>
      </c>
      <c r="AO117" t="s">
        <v>489</v>
      </c>
      <c r="AP117" t="s">
        <v>490</v>
      </c>
      <c r="AQ117" t="s">
        <v>490</v>
      </c>
      <c r="AR117" t="s">
        <v>489</v>
      </c>
      <c r="AS117" t="s">
        <v>490</v>
      </c>
      <c r="AT117" t="s">
        <v>490</v>
      </c>
      <c r="AU117" t="s">
        <v>489</v>
      </c>
      <c r="AV117" t="s">
        <v>490</v>
      </c>
      <c r="AW117" t="s">
        <v>490</v>
      </c>
      <c r="AX117" t="s">
        <v>489</v>
      </c>
      <c r="AY117" t="s">
        <v>489</v>
      </c>
      <c r="AZ117" t="s">
        <v>490</v>
      </c>
      <c r="BA117" t="s">
        <v>489</v>
      </c>
      <c r="BB117" t="s">
        <v>489</v>
      </c>
      <c r="BC117" t="s">
        <v>490</v>
      </c>
      <c r="BD117" t="s">
        <v>489</v>
      </c>
      <c r="BE117" t="s">
        <v>489</v>
      </c>
      <c r="BF117" t="s">
        <v>490</v>
      </c>
      <c r="BG117" t="s">
        <v>490</v>
      </c>
      <c r="BH117" t="s">
        <v>490</v>
      </c>
      <c r="BI117" t="s">
        <v>489</v>
      </c>
      <c r="BJ117" t="s">
        <v>489</v>
      </c>
      <c r="BK117" t="s">
        <v>489</v>
      </c>
      <c r="BL117" t="s">
        <v>490</v>
      </c>
      <c r="BM117" t="s">
        <v>490</v>
      </c>
      <c r="BN117" t="s">
        <v>490</v>
      </c>
      <c r="BO117" t="s">
        <v>489</v>
      </c>
      <c r="BP117" t="s">
        <v>489</v>
      </c>
      <c r="BQ117" t="s">
        <v>490</v>
      </c>
      <c r="BR117" t="s">
        <v>490</v>
      </c>
      <c r="BS117" t="s">
        <v>490</v>
      </c>
      <c r="BT117" t="s">
        <v>490</v>
      </c>
      <c r="BU117" t="s">
        <v>489</v>
      </c>
      <c r="BV117" t="s">
        <v>490</v>
      </c>
      <c r="BW117" t="s">
        <v>490</v>
      </c>
      <c r="BX117" t="s">
        <v>489</v>
      </c>
      <c r="BY117" t="s">
        <v>489</v>
      </c>
      <c r="BZ117" t="s">
        <v>490</v>
      </c>
      <c r="CA117" t="s">
        <v>490</v>
      </c>
      <c r="DI117" t="s">
        <v>490</v>
      </c>
      <c r="DJ117" t="s">
        <v>490</v>
      </c>
      <c r="DK117" t="s">
        <v>489</v>
      </c>
      <c r="DL117" t="s">
        <v>490</v>
      </c>
      <c r="DM117" t="s">
        <v>490</v>
      </c>
      <c r="DN117" t="s">
        <v>489</v>
      </c>
      <c r="DO117" t="s">
        <v>490</v>
      </c>
      <c r="DP117" t="s">
        <v>490</v>
      </c>
      <c r="DQ117" t="s">
        <v>489</v>
      </c>
      <c r="DR117" t="s">
        <v>490</v>
      </c>
      <c r="DS117" t="s">
        <v>489</v>
      </c>
      <c r="DT117" t="s">
        <v>490</v>
      </c>
      <c r="DU117" t="s">
        <v>489</v>
      </c>
      <c r="DV117" t="s">
        <v>489</v>
      </c>
      <c r="DW117" t="s">
        <v>490</v>
      </c>
      <c r="DX117" t="s">
        <v>490</v>
      </c>
      <c r="DY117" t="s">
        <v>490</v>
      </c>
      <c r="DZ117" t="s">
        <v>489</v>
      </c>
      <c r="EA117" t="s">
        <v>490</v>
      </c>
      <c r="EB117" t="s">
        <v>489</v>
      </c>
      <c r="EC117" t="s">
        <v>490</v>
      </c>
      <c r="ED117" t="s">
        <v>490</v>
      </c>
      <c r="EE117" t="s">
        <v>490</v>
      </c>
      <c r="EF117" t="s">
        <v>489</v>
      </c>
      <c r="EG117" t="s">
        <v>490</v>
      </c>
      <c r="EH117" t="s">
        <v>490</v>
      </c>
      <c r="EI117" t="s">
        <v>489</v>
      </c>
      <c r="EJ117" t="s">
        <v>490</v>
      </c>
      <c r="EK117" t="s">
        <v>490</v>
      </c>
      <c r="EL117" t="s">
        <v>489</v>
      </c>
      <c r="EM117" t="s">
        <v>490</v>
      </c>
      <c r="EN117" t="s">
        <v>490</v>
      </c>
      <c r="EO117" t="s">
        <v>489</v>
      </c>
      <c r="EP117" t="s">
        <v>490</v>
      </c>
      <c r="EQ117" t="s">
        <v>490</v>
      </c>
      <c r="ER117" t="s">
        <v>489</v>
      </c>
      <c r="ES117" t="s">
        <v>490</v>
      </c>
      <c r="ET117" t="s">
        <v>490</v>
      </c>
      <c r="EU117" t="s">
        <v>489</v>
      </c>
      <c r="EV117" t="s">
        <v>490</v>
      </c>
      <c r="EW117" t="s">
        <v>490</v>
      </c>
      <c r="EX117" t="s">
        <v>489</v>
      </c>
      <c r="EY117">
        <v>90</v>
      </c>
      <c r="EZ117">
        <v>5</v>
      </c>
      <c r="FA117">
        <v>40</v>
      </c>
      <c r="FB117" t="s">
        <v>491</v>
      </c>
      <c r="FC117">
        <v>51000</v>
      </c>
      <c r="FD117">
        <v>55000</v>
      </c>
      <c r="FE117">
        <v>100000</v>
      </c>
      <c r="FF117">
        <v>110000</v>
      </c>
      <c r="FI117">
        <v>20</v>
      </c>
      <c r="FJ117">
        <v>10000</v>
      </c>
      <c r="FK117">
        <v>50</v>
      </c>
      <c r="FL117">
        <v>2000</v>
      </c>
      <c r="FM117">
        <v>200</v>
      </c>
      <c r="FN117">
        <v>10000</v>
      </c>
      <c r="FO117">
        <v>200</v>
      </c>
      <c r="FP117">
        <v>220</v>
      </c>
      <c r="FQ117">
        <v>1000</v>
      </c>
      <c r="FR117">
        <v>1050</v>
      </c>
      <c r="FS117">
        <v>50</v>
      </c>
      <c r="FT117">
        <v>200000</v>
      </c>
      <c r="FU117">
        <v>2000</v>
      </c>
      <c r="FV117">
        <v>2000</v>
      </c>
      <c r="FZ117">
        <v>0</v>
      </c>
      <c r="GA117">
        <v>0</v>
      </c>
      <c r="GB117">
        <v>0</v>
      </c>
      <c r="GD117">
        <v>0</v>
      </c>
      <c r="GF117">
        <v>0</v>
      </c>
      <c r="GG117">
        <v>0</v>
      </c>
      <c r="GH117">
        <v>4</v>
      </c>
      <c r="GI117">
        <v>96</v>
      </c>
      <c r="GJ117">
        <v>0</v>
      </c>
      <c r="GK117">
        <v>0</v>
      </c>
      <c r="GL117">
        <v>100</v>
      </c>
      <c r="GP117">
        <v>2</v>
      </c>
      <c r="GQ117">
        <v>3</v>
      </c>
      <c r="GR117">
        <v>95</v>
      </c>
      <c r="GS117">
        <v>0</v>
      </c>
      <c r="GT117">
        <v>0</v>
      </c>
      <c r="GU117">
        <v>100</v>
      </c>
      <c r="GV117">
        <v>4</v>
      </c>
      <c r="GW117">
        <v>65</v>
      </c>
      <c r="GX117">
        <v>31</v>
      </c>
      <c r="GY117">
        <v>1</v>
      </c>
      <c r="GZ117">
        <v>85</v>
      </c>
      <c r="HA117">
        <v>14</v>
      </c>
      <c r="HB117">
        <v>1</v>
      </c>
      <c r="HC117">
        <v>30</v>
      </c>
      <c r="HD117">
        <v>69</v>
      </c>
      <c r="HE117">
        <v>0</v>
      </c>
      <c r="HF117">
        <v>5</v>
      </c>
      <c r="HG117">
        <v>95</v>
      </c>
      <c r="HH117">
        <v>0</v>
      </c>
      <c r="HI117">
        <v>100</v>
      </c>
      <c r="HJ117">
        <v>0</v>
      </c>
      <c r="HK117">
        <v>200</v>
      </c>
      <c r="HL117">
        <v>18000</v>
      </c>
      <c r="HM117">
        <v>1200</v>
      </c>
      <c r="HO117">
        <v>10000</v>
      </c>
      <c r="HQ117">
        <v>400</v>
      </c>
      <c r="HS117">
        <v>200</v>
      </c>
      <c r="HT117">
        <v>18000</v>
      </c>
      <c r="HU117">
        <v>1200</v>
      </c>
      <c r="HW117">
        <v>100000</v>
      </c>
      <c r="HY117">
        <v>400</v>
      </c>
      <c r="IA117">
        <v>0</v>
      </c>
      <c r="IC117">
        <v>0</v>
      </c>
      <c r="IE117">
        <v>0</v>
      </c>
      <c r="IG117">
        <v>0</v>
      </c>
      <c r="II117">
        <v>90</v>
      </c>
      <c r="IJ117">
        <v>10</v>
      </c>
      <c r="IK117">
        <v>0</v>
      </c>
      <c r="IL117">
        <v>90</v>
      </c>
      <c r="IM117">
        <v>10</v>
      </c>
      <c r="IN117">
        <v>0</v>
      </c>
      <c r="IO117">
        <v>35</v>
      </c>
      <c r="IP117">
        <v>65</v>
      </c>
      <c r="IQ117">
        <v>0</v>
      </c>
      <c r="IU117">
        <v>10</v>
      </c>
      <c r="IV117">
        <v>40</v>
      </c>
      <c r="IW117">
        <v>50</v>
      </c>
      <c r="JA117">
        <v>0</v>
      </c>
      <c r="JB117">
        <v>0</v>
      </c>
      <c r="JC117">
        <v>100</v>
      </c>
      <c r="JI117">
        <v>1000</v>
      </c>
      <c r="JM117">
        <v>10</v>
      </c>
      <c r="JQ117">
        <v>0</v>
      </c>
      <c r="JY117">
        <v>2</v>
      </c>
      <c r="JZ117">
        <v>65</v>
      </c>
      <c r="KA117">
        <v>33</v>
      </c>
      <c r="MK117">
        <v>1200</v>
      </c>
      <c r="ML117">
        <v>200</v>
      </c>
      <c r="MQ117">
        <v>0</v>
      </c>
      <c r="MR117">
        <v>200</v>
      </c>
      <c r="MW117">
        <v>0</v>
      </c>
      <c r="MX117">
        <v>0</v>
      </c>
      <c r="MZ117">
        <v>500000</v>
      </c>
      <c r="NH117">
        <v>0</v>
      </c>
      <c r="NY117">
        <v>100</v>
      </c>
      <c r="NZ117">
        <v>0</v>
      </c>
      <c r="OA117">
        <v>0</v>
      </c>
      <c r="OB117">
        <v>0</v>
      </c>
      <c r="OC117">
        <v>0</v>
      </c>
      <c r="OD117">
        <v>100</v>
      </c>
      <c r="OH117" s="15">
        <v>5</v>
      </c>
      <c r="OI117" s="15">
        <v>2</v>
      </c>
      <c r="OJ117" s="15">
        <v>2</v>
      </c>
      <c r="OK117" s="15">
        <v>2</v>
      </c>
      <c r="OL117" s="15">
        <v>7</v>
      </c>
      <c r="OM117" s="15">
        <v>8</v>
      </c>
      <c r="ON117" s="15">
        <v>2</v>
      </c>
      <c r="OO117" s="15">
        <v>6</v>
      </c>
      <c r="OQ117" t="s">
        <v>488</v>
      </c>
      <c r="OR117" t="s">
        <v>487</v>
      </c>
      <c r="OS117" t="s">
        <v>489</v>
      </c>
      <c r="OT117" t="s">
        <v>489</v>
      </c>
      <c r="OU117" t="s">
        <v>489</v>
      </c>
      <c r="OV117" t="s">
        <v>489</v>
      </c>
      <c r="OW117" t="s">
        <v>490</v>
      </c>
      <c r="OY117">
        <v>80</v>
      </c>
      <c r="OZ117">
        <v>80</v>
      </c>
      <c r="PA117">
        <v>5</v>
      </c>
      <c r="PB117">
        <v>0</v>
      </c>
      <c r="PC117">
        <v>80</v>
      </c>
      <c r="PD117">
        <v>1</v>
      </c>
      <c r="PE117">
        <v>5</v>
      </c>
      <c r="PF117">
        <v>0</v>
      </c>
      <c r="PG117">
        <v>0</v>
      </c>
      <c r="PH117">
        <v>0</v>
      </c>
      <c r="PI117">
        <v>95</v>
      </c>
      <c r="PJ117">
        <v>95</v>
      </c>
      <c r="PK117">
        <v>50</v>
      </c>
      <c r="PL117">
        <v>50</v>
      </c>
      <c r="PM117">
        <v>95</v>
      </c>
      <c r="PN117">
        <v>5</v>
      </c>
      <c r="PO117">
        <v>10</v>
      </c>
      <c r="PP117">
        <v>0</v>
      </c>
      <c r="PQ117">
        <v>0</v>
      </c>
      <c r="PR117">
        <v>0</v>
      </c>
      <c r="PT117" t="s">
        <v>487</v>
      </c>
      <c r="PU117" t="s">
        <v>497</v>
      </c>
      <c r="PV117">
        <v>150000</v>
      </c>
      <c r="PW117">
        <v>50000</v>
      </c>
      <c r="PX117">
        <v>200000</v>
      </c>
      <c r="PY117" t="s">
        <v>493</v>
      </c>
      <c r="PZ117" t="s">
        <v>493</v>
      </c>
      <c r="QA117">
        <v>15</v>
      </c>
      <c r="QB117">
        <v>85</v>
      </c>
      <c r="QC117">
        <v>75</v>
      </c>
      <c r="QD117">
        <v>25</v>
      </c>
      <c r="QE117" t="s">
        <v>494</v>
      </c>
      <c r="QF117">
        <v>20</v>
      </c>
      <c r="QG117">
        <v>20</v>
      </c>
      <c r="QH117">
        <v>0</v>
      </c>
      <c r="QI117">
        <v>2</v>
      </c>
      <c r="QJ117">
        <v>10</v>
      </c>
      <c r="QK117">
        <v>3</v>
      </c>
      <c r="QL117">
        <v>30</v>
      </c>
      <c r="QM117">
        <v>10</v>
      </c>
      <c r="QN117">
        <v>5</v>
      </c>
      <c r="QP117">
        <v>25</v>
      </c>
      <c r="QQ117">
        <v>5</v>
      </c>
      <c r="QR117">
        <v>2</v>
      </c>
      <c r="QS117">
        <v>5</v>
      </c>
      <c r="QT117">
        <v>5</v>
      </c>
      <c r="QU117">
        <v>20</v>
      </c>
      <c r="QV117">
        <v>10</v>
      </c>
      <c r="QW117">
        <v>25</v>
      </c>
      <c r="QX117">
        <v>3</v>
      </c>
      <c r="QZ117">
        <v>35</v>
      </c>
      <c r="RA117">
        <v>5</v>
      </c>
      <c r="RB117" t="s">
        <v>489</v>
      </c>
      <c r="RC117" t="s">
        <v>490</v>
      </c>
      <c r="RD117" t="s">
        <v>489</v>
      </c>
      <c r="RE117" t="s">
        <v>489</v>
      </c>
      <c r="RF117" t="s">
        <v>490</v>
      </c>
      <c r="RG117" t="s">
        <v>490</v>
      </c>
      <c r="RH117" t="s">
        <v>489</v>
      </c>
      <c r="RI117" t="s">
        <v>490</v>
      </c>
      <c r="RJ117" t="s">
        <v>521</v>
      </c>
      <c r="RL117" t="s">
        <v>522</v>
      </c>
      <c r="RN117" t="s">
        <v>523</v>
      </c>
      <c r="RO117" t="s">
        <v>524</v>
      </c>
      <c r="RQ117" t="s">
        <v>525</v>
      </c>
      <c r="RR117" t="s">
        <v>526</v>
      </c>
    </row>
    <row r="118" spans="1:486">
      <c r="A118">
        <v>11758</v>
      </c>
      <c r="B118" t="s">
        <v>498</v>
      </c>
      <c r="C118" t="s">
        <v>954</v>
      </c>
      <c r="D118" t="s">
        <v>498</v>
      </c>
      <c r="E118" t="s">
        <v>500</v>
      </c>
      <c r="F118" t="s">
        <v>496</v>
      </c>
      <c r="G118">
        <v>46</v>
      </c>
      <c r="H118" t="s">
        <v>487</v>
      </c>
      <c r="I118" t="s">
        <v>487</v>
      </c>
      <c r="J118" t="s">
        <v>487</v>
      </c>
      <c r="K118" t="s">
        <v>487</v>
      </c>
      <c r="L118" t="s">
        <v>490</v>
      </c>
      <c r="M118" t="s">
        <v>489</v>
      </c>
      <c r="N118" t="s">
        <v>489</v>
      </c>
      <c r="O118" t="s">
        <v>490</v>
      </c>
      <c r="P118" t="s">
        <v>490</v>
      </c>
      <c r="Q118" t="s">
        <v>489</v>
      </c>
      <c r="R118" t="s">
        <v>489</v>
      </c>
      <c r="S118" t="s">
        <v>489</v>
      </c>
      <c r="AX118" t="s">
        <v>490</v>
      </c>
      <c r="AY118" t="s">
        <v>489</v>
      </c>
      <c r="AZ118" t="s">
        <v>490</v>
      </c>
      <c r="BA118" t="s">
        <v>490</v>
      </c>
      <c r="BB118" t="s">
        <v>490</v>
      </c>
      <c r="BC118" t="s">
        <v>489</v>
      </c>
      <c r="BD118" t="s">
        <v>490</v>
      </c>
      <c r="BE118" t="s">
        <v>489</v>
      </c>
      <c r="BF118" t="s">
        <v>490</v>
      </c>
      <c r="BG118" t="s">
        <v>490</v>
      </c>
      <c r="BH118" t="s">
        <v>490</v>
      </c>
      <c r="BI118" t="s">
        <v>489</v>
      </c>
      <c r="BJ118" t="s">
        <v>490</v>
      </c>
      <c r="BK118" t="s">
        <v>489</v>
      </c>
      <c r="BL118" t="s">
        <v>490</v>
      </c>
      <c r="BM118" t="s">
        <v>490</v>
      </c>
      <c r="BN118" t="s">
        <v>490</v>
      </c>
      <c r="BO118" t="s">
        <v>489</v>
      </c>
      <c r="BP118" t="s">
        <v>490</v>
      </c>
      <c r="BQ118" t="s">
        <v>490</v>
      </c>
      <c r="BR118" t="s">
        <v>489</v>
      </c>
      <c r="BS118" t="s">
        <v>490</v>
      </c>
      <c r="BT118" t="s">
        <v>490</v>
      </c>
      <c r="BU118" t="s">
        <v>489</v>
      </c>
      <c r="BV118" t="s">
        <v>490</v>
      </c>
      <c r="BW118" t="s">
        <v>489</v>
      </c>
      <c r="BX118" t="s">
        <v>490</v>
      </c>
      <c r="BY118" t="s">
        <v>490</v>
      </c>
      <c r="BZ118" t="s">
        <v>489</v>
      </c>
      <c r="CA118" t="s">
        <v>490</v>
      </c>
      <c r="CW118" t="s">
        <v>490</v>
      </c>
      <c r="CX118" t="s">
        <v>490</v>
      </c>
      <c r="CY118" t="s">
        <v>489</v>
      </c>
      <c r="CZ118" t="s">
        <v>490</v>
      </c>
      <c r="DA118" t="s">
        <v>490</v>
      </c>
      <c r="DB118" t="s">
        <v>489</v>
      </c>
      <c r="DC118" t="s">
        <v>490</v>
      </c>
      <c r="DD118" t="s">
        <v>489</v>
      </c>
      <c r="DE118" t="s">
        <v>490</v>
      </c>
      <c r="DF118" t="s">
        <v>490</v>
      </c>
      <c r="DG118" t="s">
        <v>490</v>
      </c>
      <c r="DH118" t="s">
        <v>489</v>
      </c>
      <c r="DI118" t="s">
        <v>490</v>
      </c>
      <c r="DJ118" t="s">
        <v>490</v>
      </c>
      <c r="DK118" t="s">
        <v>489</v>
      </c>
      <c r="DL118" t="s">
        <v>490</v>
      </c>
      <c r="DM118" t="s">
        <v>489</v>
      </c>
      <c r="DN118" t="s">
        <v>490</v>
      </c>
      <c r="DO118" t="s">
        <v>490</v>
      </c>
      <c r="DP118" t="s">
        <v>490</v>
      </c>
      <c r="DQ118" t="s">
        <v>489</v>
      </c>
      <c r="DR118" t="s">
        <v>490</v>
      </c>
      <c r="DS118" t="s">
        <v>489</v>
      </c>
      <c r="DT118" t="s">
        <v>490</v>
      </c>
      <c r="DU118" t="s">
        <v>490</v>
      </c>
      <c r="DV118" t="s">
        <v>489</v>
      </c>
      <c r="DW118" t="s">
        <v>490</v>
      </c>
      <c r="DX118" t="s">
        <v>490</v>
      </c>
      <c r="DY118" t="s">
        <v>490</v>
      </c>
      <c r="DZ118" t="s">
        <v>489</v>
      </c>
      <c r="EA118" t="s">
        <v>490</v>
      </c>
      <c r="EB118" t="s">
        <v>489</v>
      </c>
      <c r="EC118" t="s">
        <v>490</v>
      </c>
      <c r="ED118" t="s">
        <v>490</v>
      </c>
      <c r="EE118" t="s">
        <v>490</v>
      </c>
      <c r="EF118" t="s">
        <v>489</v>
      </c>
      <c r="EG118" t="s">
        <v>490</v>
      </c>
      <c r="EH118" t="s">
        <v>490</v>
      </c>
      <c r="EI118" t="s">
        <v>489</v>
      </c>
      <c r="EJ118" t="s">
        <v>490</v>
      </c>
      <c r="EK118" t="s">
        <v>489</v>
      </c>
      <c r="EL118" t="s">
        <v>490</v>
      </c>
      <c r="EM118" t="s">
        <v>490</v>
      </c>
      <c r="EN118" t="s">
        <v>490</v>
      </c>
      <c r="EO118" t="s">
        <v>489</v>
      </c>
      <c r="EP118" t="s">
        <v>490</v>
      </c>
      <c r="EQ118" t="s">
        <v>489</v>
      </c>
      <c r="ER118" t="s">
        <v>490</v>
      </c>
      <c r="ES118" t="s">
        <v>490</v>
      </c>
      <c r="ET118" t="s">
        <v>489</v>
      </c>
      <c r="EU118" t="s">
        <v>490</v>
      </c>
      <c r="EV118" t="s">
        <v>490</v>
      </c>
      <c r="EW118" t="s">
        <v>490</v>
      </c>
      <c r="EX118" t="s">
        <v>489</v>
      </c>
      <c r="EY118">
        <v>90</v>
      </c>
      <c r="EZ118">
        <v>90</v>
      </c>
      <c r="FA118">
        <v>10</v>
      </c>
      <c r="FB118" t="s">
        <v>491</v>
      </c>
      <c r="JG118">
        <v>215</v>
      </c>
      <c r="JI118">
        <v>50</v>
      </c>
      <c r="LP118">
        <v>336</v>
      </c>
      <c r="MI118">
        <v>50</v>
      </c>
      <c r="MK118">
        <v>0</v>
      </c>
      <c r="ML118">
        <v>169</v>
      </c>
      <c r="MZ118">
        <v>47</v>
      </c>
      <c r="NC118">
        <v>58</v>
      </c>
      <c r="NE118">
        <v>34</v>
      </c>
      <c r="NG118">
        <v>48</v>
      </c>
      <c r="OH118" s="15">
        <v>10</v>
      </c>
      <c r="OI118" s="15">
        <v>10</v>
      </c>
      <c r="OJ118" s="15">
        <v>8</v>
      </c>
      <c r="OK118" s="15">
        <v>3</v>
      </c>
      <c r="OL118" s="15">
        <v>2</v>
      </c>
      <c r="OM118" s="15">
        <v>2</v>
      </c>
      <c r="ON118" s="15">
        <v>1</v>
      </c>
      <c r="OO118" s="15">
        <v>1</v>
      </c>
      <c r="OQ118" t="s">
        <v>487</v>
      </c>
      <c r="OR118" t="s">
        <v>487</v>
      </c>
      <c r="OS118" t="s">
        <v>489</v>
      </c>
      <c r="OT118" t="s">
        <v>490</v>
      </c>
      <c r="OU118" t="s">
        <v>490</v>
      </c>
      <c r="OV118" t="s">
        <v>489</v>
      </c>
      <c r="OW118" t="s">
        <v>490</v>
      </c>
      <c r="OY118">
        <v>0</v>
      </c>
      <c r="OZ118">
        <v>100</v>
      </c>
      <c r="PA118">
        <v>95</v>
      </c>
      <c r="PB118">
        <v>10</v>
      </c>
      <c r="PC118">
        <v>0</v>
      </c>
      <c r="PD118">
        <v>0</v>
      </c>
      <c r="PE118">
        <v>0</v>
      </c>
      <c r="PF118">
        <v>100</v>
      </c>
      <c r="PG118">
        <v>0</v>
      </c>
      <c r="PH118">
        <v>0</v>
      </c>
      <c r="PI118">
        <v>0</v>
      </c>
      <c r="PJ118">
        <v>100</v>
      </c>
      <c r="PK118">
        <v>98</v>
      </c>
      <c r="PL118">
        <v>12</v>
      </c>
      <c r="PM118">
        <v>0</v>
      </c>
      <c r="PN118">
        <v>0</v>
      </c>
      <c r="PO118">
        <v>0</v>
      </c>
      <c r="PP118">
        <v>100</v>
      </c>
      <c r="PQ118">
        <v>0</v>
      </c>
      <c r="PR118">
        <v>0</v>
      </c>
      <c r="PT118" t="s">
        <v>487</v>
      </c>
      <c r="PU118" t="s">
        <v>492</v>
      </c>
      <c r="PV118">
        <v>1000000</v>
      </c>
      <c r="PW118">
        <v>400000</v>
      </c>
      <c r="PX118">
        <v>1400000</v>
      </c>
      <c r="PY118" t="s">
        <v>493</v>
      </c>
      <c r="PZ118" t="s">
        <v>493</v>
      </c>
      <c r="QA118">
        <v>30</v>
      </c>
      <c r="QB118">
        <v>70</v>
      </c>
      <c r="QC118">
        <v>90</v>
      </c>
      <c r="QD118">
        <v>10</v>
      </c>
      <c r="QE118" t="s">
        <v>508</v>
      </c>
      <c r="QZ118">
        <v>30</v>
      </c>
      <c r="RA118">
        <v>3</v>
      </c>
      <c r="RB118" t="s">
        <v>489</v>
      </c>
      <c r="RC118" t="s">
        <v>490</v>
      </c>
      <c r="RD118" t="s">
        <v>489</v>
      </c>
      <c r="RE118" t="s">
        <v>490</v>
      </c>
      <c r="RF118" t="s">
        <v>490</v>
      </c>
      <c r="RG118" t="s">
        <v>490</v>
      </c>
      <c r="RH118" t="s">
        <v>490</v>
      </c>
      <c r="RI118" t="s">
        <v>490</v>
      </c>
      <c r="RJ118" t="s">
        <v>527</v>
      </c>
    </row>
    <row r="119" spans="1:486">
      <c r="A119">
        <v>1003701</v>
      </c>
      <c r="B119" t="s">
        <v>503</v>
      </c>
      <c r="C119" t="s">
        <v>972</v>
      </c>
      <c r="D119" t="s">
        <v>498</v>
      </c>
      <c r="E119" t="s">
        <v>500</v>
      </c>
      <c r="F119" t="s">
        <v>496</v>
      </c>
      <c r="G119">
        <v>13</v>
      </c>
      <c r="H119" t="s">
        <v>487</v>
      </c>
      <c r="I119" t="s">
        <v>487</v>
      </c>
      <c r="J119" t="s">
        <v>487</v>
      </c>
      <c r="K119" t="s">
        <v>488</v>
      </c>
      <c r="L119" t="s">
        <v>490</v>
      </c>
      <c r="M119" t="s">
        <v>490</v>
      </c>
      <c r="N119" t="s">
        <v>490</v>
      </c>
      <c r="O119" t="s">
        <v>490</v>
      </c>
      <c r="P119" t="s">
        <v>489</v>
      </c>
      <c r="Q119" t="s">
        <v>489</v>
      </c>
      <c r="R119" t="s">
        <v>490</v>
      </c>
      <c r="S119" t="s">
        <v>489</v>
      </c>
      <c r="CQ119" t="s">
        <v>490</v>
      </c>
      <c r="CR119" t="s">
        <v>490</v>
      </c>
      <c r="CS119" t="s">
        <v>489</v>
      </c>
      <c r="CT119" t="s">
        <v>489</v>
      </c>
      <c r="CU119" t="s">
        <v>490</v>
      </c>
      <c r="CV119" t="s">
        <v>490</v>
      </c>
      <c r="CW119" t="s">
        <v>489</v>
      </c>
      <c r="CX119" t="s">
        <v>490</v>
      </c>
      <c r="CY119" t="s">
        <v>490</v>
      </c>
      <c r="CZ119" t="s">
        <v>489</v>
      </c>
      <c r="DA119" t="s">
        <v>490</v>
      </c>
      <c r="DB119" t="s">
        <v>490</v>
      </c>
      <c r="DC119" t="s">
        <v>490</v>
      </c>
      <c r="DD119" t="s">
        <v>490</v>
      </c>
      <c r="DE119" t="s">
        <v>489</v>
      </c>
      <c r="DF119" t="s">
        <v>489</v>
      </c>
      <c r="DG119" t="s">
        <v>490</v>
      </c>
      <c r="DH119" t="s">
        <v>490</v>
      </c>
      <c r="EA119" t="s">
        <v>490</v>
      </c>
      <c r="EB119" t="s">
        <v>489</v>
      </c>
      <c r="EC119" t="s">
        <v>490</v>
      </c>
      <c r="ED119" t="s">
        <v>490</v>
      </c>
      <c r="EE119" t="s">
        <v>490</v>
      </c>
      <c r="EF119" t="s">
        <v>489</v>
      </c>
      <c r="EG119" t="s">
        <v>490</v>
      </c>
      <c r="EH119" t="s">
        <v>490</v>
      </c>
      <c r="EI119" t="s">
        <v>489</v>
      </c>
      <c r="EJ119" t="s">
        <v>490</v>
      </c>
      <c r="EK119" t="s">
        <v>490</v>
      </c>
      <c r="EL119" t="s">
        <v>489</v>
      </c>
      <c r="EM119" t="s">
        <v>490</v>
      </c>
      <c r="EN119" t="s">
        <v>490</v>
      </c>
      <c r="EO119" t="s">
        <v>489</v>
      </c>
      <c r="EP119" t="s">
        <v>490</v>
      </c>
      <c r="EQ119" t="s">
        <v>489</v>
      </c>
      <c r="ER119" t="s">
        <v>490</v>
      </c>
      <c r="ES119" t="s">
        <v>490</v>
      </c>
      <c r="ET119" t="s">
        <v>489</v>
      </c>
      <c r="EU119" t="s">
        <v>490</v>
      </c>
      <c r="EV119" t="s">
        <v>490</v>
      </c>
      <c r="EW119" t="s">
        <v>490</v>
      </c>
      <c r="EX119" t="s">
        <v>489</v>
      </c>
      <c r="EY119">
        <v>100</v>
      </c>
      <c r="EZ119">
        <v>10</v>
      </c>
      <c r="FA119">
        <v>90</v>
      </c>
      <c r="FB119" t="s">
        <v>491</v>
      </c>
      <c r="LE119">
        <v>30000</v>
      </c>
      <c r="LG119">
        <v>16000</v>
      </c>
      <c r="LK119">
        <v>10</v>
      </c>
      <c r="LL119">
        <v>40</v>
      </c>
      <c r="LM119">
        <v>50</v>
      </c>
      <c r="LN119">
        <v>0</v>
      </c>
      <c r="LO119">
        <v>0</v>
      </c>
      <c r="LQ119">
        <v>30</v>
      </c>
      <c r="LR119">
        <v>100</v>
      </c>
      <c r="LS119">
        <v>0</v>
      </c>
      <c r="LT119">
        <v>0</v>
      </c>
      <c r="LU119">
        <v>100</v>
      </c>
      <c r="LV119">
        <v>0</v>
      </c>
      <c r="LW119">
        <v>0</v>
      </c>
      <c r="MA119">
        <v>100</v>
      </c>
      <c r="MB119">
        <v>0</v>
      </c>
      <c r="MC119">
        <v>0</v>
      </c>
      <c r="MD119">
        <v>4</v>
      </c>
      <c r="ME119">
        <v>1</v>
      </c>
      <c r="MG119">
        <v>30</v>
      </c>
      <c r="NH119">
        <v>0</v>
      </c>
      <c r="NM119">
        <v>0</v>
      </c>
      <c r="NN119">
        <v>0</v>
      </c>
      <c r="OH119" s="15">
        <v>10</v>
      </c>
      <c r="OI119" s="15">
        <v>5</v>
      </c>
      <c r="OJ119" s="15">
        <v>10</v>
      </c>
      <c r="OK119" s="15">
        <v>1</v>
      </c>
      <c r="OL119" s="15">
        <v>8</v>
      </c>
      <c r="OM119" s="15">
        <v>10</v>
      </c>
      <c r="ON119" s="15">
        <v>1</v>
      </c>
      <c r="OO119" s="15">
        <v>1</v>
      </c>
      <c r="OQ119" t="s">
        <v>487</v>
      </c>
      <c r="OR119" t="s">
        <v>487</v>
      </c>
      <c r="OS119" t="s">
        <v>489</v>
      </c>
      <c r="OT119" t="s">
        <v>489</v>
      </c>
      <c r="OU119" t="s">
        <v>490</v>
      </c>
      <c r="OV119" t="s">
        <v>490</v>
      </c>
      <c r="OW119" t="s">
        <v>490</v>
      </c>
      <c r="OY119">
        <v>100</v>
      </c>
      <c r="OZ119">
        <v>5</v>
      </c>
      <c r="PA119">
        <v>0</v>
      </c>
      <c r="PB119">
        <v>0</v>
      </c>
      <c r="PC119">
        <v>0</v>
      </c>
      <c r="PD119">
        <v>0</v>
      </c>
      <c r="PE119">
        <v>0</v>
      </c>
      <c r="PF119">
        <v>0</v>
      </c>
      <c r="PG119">
        <v>0</v>
      </c>
      <c r="PH119">
        <v>0</v>
      </c>
      <c r="PI119">
        <v>0</v>
      </c>
      <c r="PJ119">
        <v>90</v>
      </c>
      <c r="PK119">
        <v>0</v>
      </c>
      <c r="PL119">
        <v>0</v>
      </c>
      <c r="PM119">
        <v>0</v>
      </c>
      <c r="PN119">
        <v>0</v>
      </c>
      <c r="PO119">
        <v>0</v>
      </c>
      <c r="PP119">
        <v>0</v>
      </c>
      <c r="PQ119">
        <v>0</v>
      </c>
      <c r="PR119">
        <v>0</v>
      </c>
      <c r="PT119" t="s">
        <v>487</v>
      </c>
      <c r="PU119" t="s">
        <v>512</v>
      </c>
      <c r="PV119">
        <v>25000</v>
      </c>
      <c r="PW119">
        <v>0</v>
      </c>
      <c r="PX119">
        <v>25000</v>
      </c>
      <c r="PY119" t="s">
        <v>493</v>
      </c>
      <c r="PZ119" t="s">
        <v>493</v>
      </c>
      <c r="QA119">
        <v>0</v>
      </c>
      <c r="QB119">
        <v>100</v>
      </c>
      <c r="QC119">
        <v>100</v>
      </c>
      <c r="QD119">
        <v>0</v>
      </c>
      <c r="QE119" t="s">
        <v>508</v>
      </c>
      <c r="QZ119">
        <v>1</v>
      </c>
      <c r="RA119">
        <v>0.5</v>
      </c>
      <c r="RB119" t="s">
        <v>489</v>
      </c>
      <c r="RC119" t="s">
        <v>490</v>
      </c>
      <c r="RD119" t="s">
        <v>490</v>
      </c>
      <c r="RE119" t="s">
        <v>490</v>
      </c>
      <c r="RF119" t="s">
        <v>490</v>
      </c>
      <c r="RG119" t="s">
        <v>490</v>
      </c>
      <c r="RH119" t="s">
        <v>490</v>
      </c>
      <c r="RI119" t="s">
        <v>490</v>
      </c>
      <c r="RJ119" t="s">
        <v>529</v>
      </c>
      <c r="RR119" t="s">
        <v>530</v>
      </c>
    </row>
    <row r="120" spans="1:486">
      <c r="A120">
        <v>1003529</v>
      </c>
      <c r="B120" t="s">
        <v>503</v>
      </c>
      <c r="C120" t="s">
        <v>972</v>
      </c>
      <c r="D120" t="s">
        <v>498</v>
      </c>
      <c r="E120" t="s">
        <v>500</v>
      </c>
      <c r="F120" t="s">
        <v>496</v>
      </c>
      <c r="G120">
        <v>31</v>
      </c>
      <c r="H120" t="s">
        <v>487</v>
      </c>
      <c r="I120" t="s">
        <v>487</v>
      </c>
      <c r="J120" t="s">
        <v>488</v>
      </c>
      <c r="K120" t="s">
        <v>487</v>
      </c>
      <c r="L120" t="s">
        <v>489</v>
      </c>
      <c r="M120" t="s">
        <v>489</v>
      </c>
      <c r="N120" t="s">
        <v>489</v>
      </c>
      <c r="O120" t="s">
        <v>489</v>
      </c>
      <c r="P120" t="s">
        <v>490</v>
      </c>
      <c r="Q120" t="s">
        <v>489</v>
      </c>
      <c r="R120" t="s">
        <v>489</v>
      </c>
      <c r="S120" t="s">
        <v>489</v>
      </c>
      <c r="T120" t="s">
        <v>489</v>
      </c>
      <c r="U120" t="s">
        <v>490</v>
      </c>
      <c r="V120" t="s">
        <v>490</v>
      </c>
      <c r="W120" t="s">
        <v>489</v>
      </c>
      <c r="X120" t="s">
        <v>490</v>
      </c>
      <c r="Y120" t="s">
        <v>490</v>
      </c>
      <c r="Z120" t="s">
        <v>490</v>
      </c>
      <c r="AA120" t="s">
        <v>490</v>
      </c>
      <c r="AB120" t="s">
        <v>489</v>
      </c>
      <c r="AC120" t="s">
        <v>489</v>
      </c>
      <c r="AD120" t="s">
        <v>490</v>
      </c>
      <c r="AE120" t="s">
        <v>490</v>
      </c>
      <c r="AF120" t="s">
        <v>490</v>
      </c>
      <c r="AG120" t="s">
        <v>490</v>
      </c>
      <c r="AH120" t="s">
        <v>489</v>
      </c>
      <c r="AI120" t="s">
        <v>489</v>
      </c>
      <c r="AJ120" t="s">
        <v>490</v>
      </c>
      <c r="AK120" t="s">
        <v>490</v>
      </c>
      <c r="AL120" t="s">
        <v>490</v>
      </c>
      <c r="AM120" t="s">
        <v>490</v>
      </c>
      <c r="AN120" t="s">
        <v>489</v>
      </c>
      <c r="AO120" t="s">
        <v>489</v>
      </c>
      <c r="AP120" t="s">
        <v>490</v>
      </c>
      <c r="AQ120" t="s">
        <v>490</v>
      </c>
      <c r="AR120" t="s">
        <v>489</v>
      </c>
      <c r="AS120" t="s">
        <v>490</v>
      </c>
      <c r="AT120" t="s">
        <v>490</v>
      </c>
      <c r="AU120" t="s">
        <v>489</v>
      </c>
      <c r="AV120" t="s">
        <v>490</v>
      </c>
      <c r="AW120" t="s">
        <v>490</v>
      </c>
      <c r="AX120" t="s">
        <v>489</v>
      </c>
      <c r="AY120" t="s">
        <v>490</v>
      </c>
      <c r="AZ120" t="s">
        <v>490</v>
      </c>
      <c r="BA120" t="s">
        <v>489</v>
      </c>
      <c r="BB120" t="s">
        <v>490</v>
      </c>
      <c r="BC120" t="s">
        <v>490</v>
      </c>
      <c r="BD120" t="s">
        <v>489</v>
      </c>
      <c r="BE120" t="s">
        <v>489</v>
      </c>
      <c r="BF120" t="s">
        <v>490</v>
      </c>
      <c r="BG120" t="s">
        <v>489</v>
      </c>
      <c r="BH120" t="s">
        <v>490</v>
      </c>
      <c r="BI120" t="s">
        <v>490</v>
      </c>
      <c r="BJ120" t="s">
        <v>489</v>
      </c>
      <c r="BK120" t="s">
        <v>489</v>
      </c>
      <c r="BL120" t="s">
        <v>490</v>
      </c>
      <c r="BM120" t="s">
        <v>489</v>
      </c>
      <c r="BN120" t="s">
        <v>489</v>
      </c>
      <c r="BO120" t="s">
        <v>490</v>
      </c>
      <c r="BP120" t="s">
        <v>490</v>
      </c>
      <c r="BQ120" t="s">
        <v>490</v>
      </c>
      <c r="BR120" t="s">
        <v>489</v>
      </c>
      <c r="BS120" t="s">
        <v>489</v>
      </c>
      <c r="BT120" t="s">
        <v>489</v>
      </c>
      <c r="BU120" t="s">
        <v>490</v>
      </c>
      <c r="BV120" t="s">
        <v>489</v>
      </c>
      <c r="BW120" t="s">
        <v>489</v>
      </c>
      <c r="BX120" t="s">
        <v>490</v>
      </c>
      <c r="BY120" t="s">
        <v>489</v>
      </c>
      <c r="BZ120" t="s">
        <v>489</v>
      </c>
      <c r="CA120" t="s">
        <v>490</v>
      </c>
      <c r="CB120" t="s">
        <v>489</v>
      </c>
      <c r="CC120" t="s">
        <v>490</v>
      </c>
      <c r="CD120" t="s">
        <v>490</v>
      </c>
      <c r="CE120" t="s">
        <v>490</v>
      </c>
      <c r="CF120" t="s">
        <v>490</v>
      </c>
      <c r="CG120" t="s">
        <v>489</v>
      </c>
      <c r="CH120" t="s">
        <v>489</v>
      </c>
      <c r="CI120" t="s">
        <v>490</v>
      </c>
      <c r="CJ120" t="s">
        <v>490</v>
      </c>
      <c r="CK120" t="s">
        <v>489</v>
      </c>
      <c r="CL120" t="s">
        <v>490</v>
      </c>
      <c r="CM120" t="s">
        <v>490</v>
      </c>
      <c r="CN120" t="s">
        <v>489</v>
      </c>
      <c r="CO120" t="s">
        <v>490</v>
      </c>
      <c r="CP120" t="s">
        <v>490</v>
      </c>
      <c r="CW120" t="s">
        <v>489</v>
      </c>
      <c r="CX120" t="s">
        <v>490</v>
      </c>
      <c r="CY120" t="s">
        <v>490</v>
      </c>
      <c r="CZ120" t="s">
        <v>490</v>
      </c>
      <c r="DA120" t="s">
        <v>490</v>
      </c>
      <c r="DB120" t="s">
        <v>489</v>
      </c>
      <c r="DC120" t="s">
        <v>490</v>
      </c>
      <c r="DD120" t="s">
        <v>490</v>
      </c>
      <c r="DE120" t="s">
        <v>489</v>
      </c>
      <c r="DF120" t="s">
        <v>490</v>
      </c>
      <c r="DG120" t="s">
        <v>490</v>
      </c>
      <c r="DH120" t="s">
        <v>489</v>
      </c>
      <c r="DI120" t="s">
        <v>489</v>
      </c>
      <c r="DJ120" t="s">
        <v>490</v>
      </c>
      <c r="DK120" t="s">
        <v>490</v>
      </c>
      <c r="DL120" t="s">
        <v>490</v>
      </c>
      <c r="DM120" t="s">
        <v>490</v>
      </c>
      <c r="DN120" t="s">
        <v>489</v>
      </c>
      <c r="DO120" t="s">
        <v>490</v>
      </c>
      <c r="DP120" t="s">
        <v>490</v>
      </c>
      <c r="DQ120" t="s">
        <v>489</v>
      </c>
      <c r="DR120" t="s">
        <v>489</v>
      </c>
      <c r="DS120" t="s">
        <v>489</v>
      </c>
      <c r="DT120" t="s">
        <v>490</v>
      </c>
      <c r="DU120" t="s">
        <v>489</v>
      </c>
      <c r="DV120" t="s">
        <v>489</v>
      </c>
      <c r="DW120" t="s">
        <v>490</v>
      </c>
      <c r="DX120" t="s">
        <v>490</v>
      </c>
      <c r="DY120" t="s">
        <v>490</v>
      </c>
      <c r="DZ120" t="s">
        <v>489</v>
      </c>
      <c r="EA120" t="s">
        <v>490</v>
      </c>
      <c r="EB120" t="s">
        <v>489</v>
      </c>
      <c r="EC120" t="s">
        <v>490</v>
      </c>
      <c r="ED120" t="s">
        <v>490</v>
      </c>
      <c r="EE120" t="s">
        <v>490</v>
      </c>
      <c r="EF120" t="s">
        <v>489</v>
      </c>
      <c r="EG120" t="s">
        <v>490</v>
      </c>
      <c r="EH120" t="s">
        <v>490</v>
      </c>
      <c r="EI120" t="s">
        <v>489</v>
      </c>
      <c r="EJ120" t="s">
        <v>490</v>
      </c>
      <c r="EK120" t="s">
        <v>489</v>
      </c>
      <c r="EL120" t="s">
        <v>490</v>
      </c>
      <c r="EM120" t="s">
        <v>490</v>
      </c>
      <c r="EN120" t="s">
        <v>490</v>
      </c>
      <c r="EO120" t="s">
        <v>489</v>
      </c>
      <c r="EP120" t="s">
        <v>490</v>
      </c>
      <c r="EQ120" t="s">
        <v>489</v>
      </c>
      <c r="ER120" t="s">
        <v>490</v>
      </c>
      <c r="ES120" t="s">
        <v>490</v>
      </c>
      <c r="ET120" t="s">
        <v>489</v>
      </c>
      <c r="EU120" t="s">
        <v>490</v>
      </c>
      <c r="EV120" t="s">
        <v>490</v>
      </c>
      <c r="EW120" t="s">
        <v>490</v>
      </c>
      <c r="EX120" t="s">
        <v>489</v>
      </c>
      <c r="EY120">
        <v>60</v>
      </c>
      <c r="EZ120">
        <v>8</v>
      </c>
      <c r="FA120">
        <v>40</v>
      </c>
      <c r="FB120" t="s">
        <v>543</v>
      </c>
      <c r="OH120" s="15">
        <v>7</v>
      </c>
      <c r="OI120" s="15">
        <v>7</v>
      </c>
      <c r="OJ120" s="15">
        <v>8</v>
      </c>
      <c r="OK120" s="15">
        <v>5</v>
      </c>
      <c r="OL120" s="15">
        <v>8</v>
      </c>
      <c r="OM120" s="15">
        <v>9</v>
      </c>
      <c r="ON120" s="15">
        <v>8</v>
      </c>
      <c r="OO120" s="15">
        <v>1</v>
      </c>
      <c r="OQ120" t="s">
        <v>519</v>
      </c>
      <c r="OR120" t="s">
        <v>487</v>
      </c>
      <c r="OS120" t="s">
        <v>489</v>
      </c>
      <c r="OT120" t="s">
        <v>489</v>
      </c>
      <c r="OU120" t="s">
        <v>490</v>
      </c>
      <c r="OV120" t="s">
        <v>490</v>
      </c>
      <c r="OW120" t="s">
        <v>490</v>
      </c>
      <c r="OY120">
        <v>5</v>
      </c>
      <c r="OZ120">
        <v>95</v>
      </c>
      <c r="PA120">
        <v>0</v>
      </c>
      <c r="PB120">
        <v>0</v>
      </c>
      <c r="PC120">
        <v>0</v>
      </c>
      <c r="PD120">
        <v>0</v>
      </c>
      <c r="PE120">
        <v>5</v>
      </c>
      <c r="PF120">
        <v>0</v>
      </c>
      <c r="PG120">
        <v>0</v>
      </c>
      <c r="PH120">
        <v>0</v>
      </c>
      <c r="PI120">
        <v>5</v>
      </c>
      <c r="PJ120">
        <v>95</v>
      </c>
      <c r="PK120">
        <v>0</v>
      </c>
      <c r="PL120">
        <v>0</v>
      </c>
      <c r="PM120">
        <v>0</v>
      </c>
      <c r="PN120">
        <v>0</v>
      </c>
      <c r="PO120">
        <v>5</v>
      </c>
      <c r="PP120">
        <v>0</v>
      </c>
      <c r="PQ120">
        <v>0</v>
      </c>
      <c r="PR120">
        <v>0</v>
      </c>
      <c r="PT120" t="s">
        <v>488</v>
      </c>
      <c r="PU120" t="s">
        <v>497</v>
      </c>
      <c r="PV120">
        <v>200000</v>
      </c>
      <c r="PW120">
        <v>0</v>
      </c>
      <c r="PX120">
        <v>200000</v>
      </c>
      <c r="PY120" t="s">
        <v>493</v>
      </c>
      <c r="PZ120" t="s">
        <v>493</v>
      </c>
      <c r="QA120">
        <v>40</v>
      </c>
      <c r="QB120">
        <v>60</v>
      </c>
      <c r="QC120">
        <v>90</v>
      </c>
      <c r="QD120">
        <v>10</v>
      </c>
      <c r="QE120" t="s">
        <v>494</v>
      </c>
      <c r="QF120">
        <v>5</v>
      </c>
      <c r="QG120">
        <v>15</v>
      </c>
      <c r="QH120">
        <v>5</v>
      </c>
      <c r="QI120">
        <v>10</v>
      </c>
      <c r="QJ120">
        <v>20</v>
      </c>
      <c r="QK120">
        <v>5</v>
      </c>
      <c r="QL120">
        <v>30</v>
      </c>
      <c r="QM120">
        <v>10</v>
      </c>
      <c r="QN120">
        <v>0</v>
      </c>
      <c r="QP120">
        <v>5</v>
      </c>
      <c r="QQ120">
        <v>15</v>
      </c>
      <c r="QR120">
        <v>5</v>
      </c>
      <c r="QS120">
        <v>10</v>
      </c>
      <c r="QT120">
        <v>10</v>
      </c>
      <c r="QU120">
        <v>20</v>
      </c>
      <c r="QV120">
        <v>5</v>
      </c>
      <c r="QW120">
        <v>30</v>
      </c>
      <c r="QX120">
        <v>0</v>
      </c>
      <c r="QZ120">
        <v>3</v>
      </c>
      <c r="RA120">
        <v>2.5</v>
      </c>
      <c r="RB120" t="s">
        <v>490</v>
      </c>
      <c r="RC120" t="s">
        <v>490</v>
      </c>
      <c r="RD120" t="s">
        <v>490</v>
      </c>
      <c r="RE120" t="s">
        <v>489</v>
      </c>
      <c r="RF120" t="s">
        <v>490</v>
      </c>
      <c r="RG120" t="s">
        <v>490</v>
      </c>
      <c r="RH120" t="s">
        <v>490</v>
      </c>
      <c r="RI120" t="s">
        <v>490</v>
      </c>
      <c r="RJ120" t="s">
        <v>550</v>
      </c>
    </row>
    <row r="121" spans="1:486">
      <c r="A121">
        <v>1004151</v>
      </c>
      <c r="B121" t="s">
        <v>503</v>
      </c>
      <c r="C121" t="s">
        <v>972</v>
      </c>
      <c r="D121" t="s">
        <v>498</v>
      </c>
      <c r="E121" t="s">
        <v>500</v>
      </c>
      <c r="F121" t="s">
        <v>496</v>
      </c>
      <c r="G121">
        <v>23.8</v>
      </c>
      <c r="H121" t="s">
        <v>487</v>
      </c>
      <c r="I121" t="s">
        <v>487</v>
      </c>
      <c r="J121" t="s">
        <v>487</v>
      </c>
      <c r="K121" t="s">
        <v>487</v>
      </c>
      <c r="L121" t="s">
        <v>489</v>
      </c>
      <c r="M121" t="s">
        <v>489</v>
      </c>
      <c r="N121" t="s">
        <v>489</v>
      </c>
      <c r="O121" t="s">
        <v>490</v>
      </c>
      <c r="P121" t="s">
        <v>490</v>
      </c>
      <c r="Q121" t="s">
        <v>489</v>
      </c>
      <c r="R121" t="s">
        <v>489</v>
      </c>
      <c r="S121" t="s">
        <v>489</v>
      </c>
      <c r="T121" t="s">
        <v>489</v>
      </c>
      <c r="U121" t="s">
        <v>489</v>
      </c>
      <c r="V121" t="s">
        <v>490</v>
      </c>
      <c r="W121" t="s">
        <v>489</v>
      </c>
      <c r="X121" t="s">
        <v>489</v>
      </c>
      <c r="Y121" t="s">
        <v>490</v>
      </c>
      <c r="Z121" t="s">
        <v>490</v>
      </c>
      <c r="AA121" t="s">
        <v>490</v>
      </c>
      <c r="AB121" t="s">
        <v>489</v>
      </c>
      <c r="AC121" t="s">
        <v>489</v>
      </c>
      <c r="AD121" t="s">
        <v>489</v>
      </c>
      <c r="AE121" t="s">
        <v>490</v>
      </c>
      <c r="AF121" t="s">
        <v>489</v>
      </c>
      <c r="AG121" t="s">
        <v>490</v>
      </c>
      <c r="AH121" t="s">
        <v>490</v>
      </c>
      <c r="AI121" t="s">
        <v>489</v>
      </c>
      <c r="AJ121" t="s">
        <v>489</v>
      </c>
      <c r="AK121" t="s">
        <v>490</v>
      </c>
      <c r="AL121" t="s">
        <v>490</v>
      </c>
      <c r="AM121" t="s">
        <v>490</v>
      </c>
      <c r="AN121" t="s">
        <v>489</v>
      </c>
      <c r="AO121" t="s">
        <v>489</v>
      </c>
      <c r="AP121" t="s">
        <v>490</v>
      </c>
      <c r="AQ121" t="s">
        <v>490</v>
      </c>
      <c r="AR121" t="s">
        <v>489</v>
      </c>
      <c r="AS121" t="s">
        <v>489</v>
      </c>
      <c r="AT121" t="s">
        <v>490</v>
      </c>
      <c r="AU121" t="s">
        <v>489</v>
      </c>
      <c r="AV121" t="s">
        <v>490</v>
      </c>
      <c r="AW121" t="s">
        <v>490</v>
      </c>
      <c r="AX121" t="s">
        <v>489</v>
      </c>
      <c r="AY121" t="s">
        <v>490</v>
      </c>
      <c r="AZ121" t="s">
        <v>490</v>
      </c>
      <c r="BA121" t="s">
        <v>489</v>
      </c>
      <c r="BB121" t="s">
        <v>490</v>
      </c>
      <c r="BC121" t="s">
        <v>490</v>
      </c>
      <c r="BD121" t="s">
        <v>489</v>
      </c>
      <c r="BE121" t="s">
        <v>490</v>
      </c>
      <c r="BF121" t="s">
        <v>490</v>
      </c>
      <c r="BG121" t="s">
        <v>489</v>
      </c>
      <c r="BH121" t="s">
        <v>490</v>
      </c>
      <c r="BI121" t="s">
        <v>490</v>
      </c>
      <c r="BJ121" t="s">
        <v>489</v>
      </c>
      <c r="BK121" t="s">
        <v>489</v>
      </c>
      <c r="BL121" t="s">
        <v>490</v>
      </c>
      <c r="BM121" t="s">
        <v>489</v>
      </c>
      <c r="BN121" t="s">
        <v>490</v>
      </c>
      <c r="BO121" t="s">
        <v>490</v>
      </c>
      <c r="BP121" t="s">
        <v>489</v>
      </c>
      <c r="BQ121" t="s">
        <v>490</v>
      </c>
      <c r="BR121" t="s">
        <v>490</v>
      </c>
      <c r="BS121" t="s">
        <v>490</v>
      </c>
      <c r="BT121" t="s">
        <v>490</v>
      </c>
      <c r="BU121" t="s">
        <v>489</v>
      </c>
      <c r="BV121" t="s">
        <v>489</v>
      </c>
      <c r="BW121" t="s">
        <v>489</v>
      </c>
      <c r="BX121" t="s">
        <v>490</v>
      </c>
      <c r="BY121" t="s">
        <v>489</v>
      </c>
      <c r="BZ121" t="s">
        <v>489</v>
      </c>
      <c r="CA121" t="s">
        <v>490</v>
      </c>
      <c r="CW121" t="s">
        <v>490</v>
      </c>
      <c r="CX121" t="s">
        <v>490</v>
      </c>
      <c r="CY121" t="s">
        <v>489</v>
      </c>
      <c r="CZ121" t="s">
        <v>490</v>
      </c>
      <c r="DA121" t="s">
        <v>490</v>
      </c>
      <c r="DB121" t="s">
        <v>489</v>
      </c>
      <c r="DC121" t="s">
        <v>490</v>
      </c>
      <c r="DD121" t="s">
        <v>490</v>
      </c>
      <c r="DE121" t="s">
        <v>489</v>
      </c>
      <c r="DF121" t="s">
        <v>490</v>
      </c>
      <c r="DG121" t="s">
        <v>490</v>
      </c>
      <c r="DH121" t="s">
        <v>489</v>
      </c>
      <c r="DI121" t="s">
        <v>489</v>
      </c>
      <c r="DJ121" t="s">
        <v>489</v>
      </c>
      <c r="DK121" t="s">
        <v>490</v>
      </c>
      <c r="DL121" t="s">
        <v>489</v>
      </c>
      <c r="DM121" t="s">
        <v>489</v>
      </c>
      <c r="DN121" t="s">
        <v>490</v>
      </c>
      <c r="DO121" t="s">
        <v>489</v>
      </c>
      <c r="DP121" t="s">
        <v>490</v>
      </c>
      <c r="DQ121" t="s">
        <v>490</v>
      </c>
      <c r="DR121" t="s">
        <v>489</v>
      </c>
      <c r="DS121" t="s">
        <v>489</v>
      </c>
      <c r="DT121" t="s">
        <v>490</v>
      </c>
      <c r="DU121" t="s">
        <v>489</v>
      </c>
      <c r="DV121" t="s">
        <v>489</v>
      </c>
      <c r="DW121" t="s">
        <v>490</v>
      </c>
      <c r="DX121" t="s">
        <v>490</v>
      </c>
      <c r="DY121" t="s">
        <v>490</v>
      </c>
      <c r="DZ121" t="s">
        <v>489</v>
      </c>
      <c r="EA121" t="s">
        <v>490</v>
      </c>
      <c r="EB121" t="s">
        <v>489</v>
      </c>
      <c r="EC121" t="s">
        <v>490</v>
      </c>
      <c r="ED121" t="s">
        <v>490</v>
      </c>
      <c r="EE121" t="s">
        <v>490</v>
      </c>
      <c r="EF121" t="s">
        <v>489</v>
      </c>
      <c r="EG121" t="s">
        <v>490</v>
      </c>
      <c r="EH121" t="s">
        <v>490</v>
      </c>
      <c r="EI121" t="s">
        <v>489</v>
      </c>
      <c r="EJ121" t="s">
        <v>490</v>
      </c>
      <c r="EK121" t="s">
        <v>489</v>
      </c>
      <c r="EL121" t="s">
        <v>490</v>
      </c>
      <c r="EM121" t="s">
        <v>490</v>
      </c>
      <c r="EN121" t="s">
        <v>490</v>
      </c>
      <c r="EO121" t="s">
        <v>489</v>
      </c>
      <c r="EP121" t="s">
        <v>490</v>
      </c>
      <c r="EQ121" t="s">
        <v>490</v>
      </c>
      <c r="ER121" t="s">
        <v>489</v>
      </c>
      <c r="ES121" t="s">
        <v>490</v>
      </c>
      <c r="ET121" t="s">
        <v>489</v>
      </c>
      <c r="EU121" t="s">
        <v>490</v>
      </c>
      <c r="EV121" t="s">
        <v>490</v>
      </c>
      <c r="EW121" t="s">
        <v>490</v>
      </c>
      <c r="EX121" t="s">
        <v>489</v>
      </c>
      <c r="EY121">
        <v>65</v>
      </c>
      <c r="EZ121">
        <v>35</v>
      </c>
      <c r="FA121">
        <v>15</v>
      </c>
      <c r="FB121" t="s">
        <v>491</v>
      </c>
      <c r="OH121" s="15">
        <v>8</v>
      </c>
      <c r="OI121" s="15">
        <v>7</v>
      </c>
      <c r="OJ121" s="15">
        <v>8</v>
      </c>
      <c r="OK121" s="15">
        <v>5</v>
      </c>
      <c r="OL121" s="15">
        <v>9</v>
      </c>
      <c r="OM121" s="15">
        <v>9</v>
      </c>
      <c r="ON121" s="15">
        <v>8</v>
      </c>
      <c r="OO121" s="15">
        <v>5</v>
      </c>
      <c r="OQ121" t="s">
        <v>488</v>
      </c>
      <c r="OR121" t="s">
        <v>487</v>
      </c>
      <c r="OS121" t="s">
        <v>489</v>
      </c>
      <c r="OT121" t="s">
        <v>489</v>
      </c>
      <c r="OU121" t="s">
        <v>490</v>
      </c>
      <c r="OV121" t="s">
        <v>489</v>
      </c>
      <c r="OW121" t="s">
        <v>490</v>
      </c>
      <c r="OY121">
        <v>55</v>
      </c>
      <c r="OZ121">
        <v>0</v>
      </c>
      <c r="PA121">
        <v>0</v>
      </c>
      <c r="PB121">
        <v>0</v>
      </c>
      <c r="PC121">
        <v>55</v>
      </c>
      <c r="PD121">
        <v>0</v>
      </c>
      <c r="PE121">
        <v>35</v>
      </c>
      <c r="PF121">
        <v>0</v>
      </c>
      <c r="PG121">
        <v>15</v>
      </c>
      <c r="PH121">
        <v>0</v>
      </c>
      <c r="PI121">
        <v>60</v>
      </c>
      <c r="PJ121">
        <v>10</v>
      </c>
      <c r="PK121">
        <v>10</v>
      </c>
      <c r="PL121">
        <v>0</v>
      </c>
      <c r="PM121">
        <v>60</v>
      </c>
      <c r="PN121">
        <v>0</v>
      </c>
      <c r="PO121">
        <v>40</v>
      </c>
      <c r="PP121">
        <v>0</v>
      </c>
      <c r="PQ121">
        <v>20</v>
      </c>
      <c r="PR121">
        <v>0</v>
      </c>
      <c r="PT121" t="s">
        <v>487</v>
      </c>
      <c r="PU121" t="s">
        <v>497</v>
      </c>
      <c r="PV121">
        <v>5000</v>
      </c>
      <c r="PW121">
        <v>70000</v>
      </c>
      <c r="PX121">
        <v>75000</v>
      </c>
      <c r="PY121" t="s">
        <v>493</v>
      </c>
      <c r="PZ121" t="s">
        <v>493</v>
      </c>
      <c r="QA121">
        <v>25</v>
      </c>
      <c r="QB121">
        <v>75</v>
      </c>
      <c r="QC121">
        <v>100</v>
      </c>
      <c r="QD121">
        <v>0</v>
      </c>
      <c r="QE121" t="s">
        <v>494</v>
      </c>
      <c r="QF121">
        <v>10</v>
      </c>
      <c r="QG121">
        <v>5</v>
      </c>
      <c r="QH121">
        <v>0</v>
      </c>
      <c r="QI121">
        <v>5</v>
      </c>
      <c r="QJ121">
        <v>15</v>
      </c>
      <c r="QK121">
        <v>5</v>
      </c>
      <c r="QL121">
        <v>35</v>
      </c>
      <c r="QM121">
        <v>25</v>
      </c>
      <c r="QN121">
        <v>0</v>
      </c>
      <c r="QP121">
        <v>25</v>
      </c>
      <c r="QQ121">
        <v>5</v>
      </c>
      <c r="QR121">
        <v>5</v>
      </c>
      <c r="QS121">
        <v>5</v>
      </c>
      <c r="QT121">
        <v>5</v>
      </c>
      <c r="QU121">
        <v>25</v>
      </c>
      <c r="QV121">
        <v>5</v>
      </c>
      <c r="QW121">
        <v>25</v>
      </c>
      <c r="QX121">
        <v>0</v>
      </c>
      <c r="QZ121">
        <v>5.3</v>
      </c>
      <c r="RA121">
        <v>15</v>
      </c>
      <c r="RB121" t="s">
        <v>489</v>
      </c>
      <c r="RC121" t="s">
        <v>490</v>
      </c>
      <c r="RD121" t="s">
        <v>490</v>
      </c>
      <c r="RE121" t="s">
        <v>489</v>
      </c>
      <c r="RF121" t="s">
        <v>489</v>
      </c>
      <c r="RG121" t="s">
        <v>489</v>
      </c>
      <c r="RH121" t="s">
        <v>489</v>
      </c>
      <c r="RI121" t="s">
        <v>490</v>
      </c>
      <c r="RJ121" t="s">
        <v>553</v>
      </c>
    </row>
    <row r="122" spans="1:486">
      <c r="A122">
        <v>1003468</v>
      </c>
      <c r="B122" t="s">
        <v>503</v>
      </c>
      <c r="C122" t="s">
        <v>972</v>
      </c>
      <c r="D122" t="s">
        <v>498</v>
      </c>
      <c r="E122" t="s">
        <v>500</v>
      </c>
      <c r="F122" t="s">
        <v>509</v>
      </c>
      <c r="G122">
        <v>14</v>
      </c>
      <c r="H122" t="s">
        <v>487</v>
      </c>
      <c r="I122" t="s">
        <v>487</v>
      </c>
      <c r="J122" t="s">
        <v>487</v>
      </c>
      <c r="K122" t="s">
        <v>488</v>
      </c>
      <c r="L122" t="s">
        <v>489</v>
      </c>
      <c r="M122" t="s">
        <v>489</v>
      </c>
      <c r="N122" t="s">
        <v>489</v>
      </c>
      <c r="O122" t="s">
        <v>489</v>
      </c>
      <c r="P122" t="s">
        <v>490</v>
      </c>
      <c r="Q122" t="s">
        <v>489</v>
      </c>
      <c r="R122" t="s">
        <v>489</v>
      </c>
      <c r="S122" t="s">
        <v>489</v>
      </c>
      <c r="T122" t="s">
        <v>489</v>
      </c>
      <c r="U122" t="s">
        <v>489</v>
      </c>
      <c r="V122" t="s">
        <v>490</v>
      </c>
      <c r="W122" t="s">
        <v>489</v>
      </c>
      <c r="X122" t="s">
        <v>489</v>
      </c>
      <c r="Y122" t="s">
        <v>490</v>
      </c>
      <c r="Z122" t="s">
        <v>490</v>
      </c>
      <c r="AA122" t="s">
        <v>490</v>
      </c>
      <c r="AB122" t="s">
        <v>489</v>
      </c>
      <c r="AC122" t="s">
        <v>489</v>
      </c>
      <c r="AD122" t="s">
        <v>489</v>
      </c>
      <c r="AE122" t="s">
        <v>490</v>
      </c>
      <c r="AF122" t="s">
        <v>489</v>
      </c>
      <c r="AG122" t="s">
        <v>490</v>
      </c>
      <c r="AH122" t="s">
        <v>490</v>
      </c>
      <c r="AI122" t="s">
        <v>489</v>
      </c>
      <c r="AJ122" t="s">
        <v>489</v>
      </c>
      <c r="AK122" t="s">
        <v>490</v>
      </c>
      <c r="AL122" t="s">
        <v>489</v>
      </c>
      <c r="AM122" t="s">
        <v>489</v>
      </c>
      <c r="AN122" t="s">
        <v>490</v>
      </c>
      <c r="AO122" t="s">
        <v>489</v>
      </c>
      <c r="AP122" t="s">
        <v>489</v>
      </c>
      <c r="AQ122" t="s">
        <v>490</v>
      </c>
      <c r="AR122" t="s">
        <v>489</v>
      </c>
      <c r="AS122" t="s">
        <v>489</v>
      </c>
      <c r="AT122" t="s">
        <v>490</v>
      </c>
      <c r="AU122" t="s">
        <v>489</v>
      </c>
      <c r="AV122" t="s">
        <v>489</v>
      </c>
      <c r="AW122" t="s">
        <v>490</v>
      </c>
      <c r="AX122" t="s">
        <v>489</v>
      </c>
      <c r="AY122" t="s">
        <v>489</v>
      </c>
      <c r="AZ122" t="s">
        <v>490</v>
      </c>
      <c r="BA122" t="s">
        <v>489</v>
      </c>
      <c r="BB122" t="s">
        <v>489</v>
      </c>
      <c r="BC122" t="s">
        <v>490</v>
      </c>
      <c r="BD122" t="s">
        <v>489</v>
      </c>
      <c r="BE122" t="s">
        <v>489</v>
      </c>
      <c r="BF122" t="s">
        <v>490</v>
      </c>
      <c r="BG122" t="s">
        <v>489</v>
      </c>
      <c r="BH122" t="s">
        <v>489</v>
      </c>
      <c r="BI122" t="s">
        <v>490</v>
      </c>
      <c r="BJ122" t="s">
        <v>489</v>
      </c>
      <c r="BK122" t="s">
        <v>489</v>
      </c>
      <c r="BL122" t="s">
        <v>490</v>
      </c>
      <c r="BM122" t="s">
        <v>489</v>
      </c>
      <c r="BN122" t="s">
        <v>489</v>
      </c>
      <c r="BO122" t="s">
        <v>490</v>
      </c>
      <c r="BP122" t="s">
        <v>490</v>
      </c>
      <c r="BQ122" t="s">
        <v>490</v>
      </c>
      <c r="BR122" t="s">
        <v>489</v>
      </c>
      <c r="BS122" t="s">
        <v>489</v>
      </c>
      <c r="BT122" t="s">
        <v>489</v>
      </c>
      <c r="BU122" t="s">
        <v>490</v>
      </c>
      <c r="BV122" t="s">
        <v>489</v>
      </c>
      <c r="BW122" t="s">
        <v>489</v>
      </c>
      <c r="BX122" t="s">
        <v>490</v>
      </c>
      <c r="BY122" t="s">
        <v>489</v>
      </c>
      <c r="BZ122" t="s">
        <v>489</v>
      </c>
      <c r="CA122" t="s">
        <v>490</v>
      </c>
      <c r="CB122" t="s">
        <v>489</v>
      </c>
      <c r="CC122" t="s">
        <v>489</v>
      </c>
      <c r="CD122" t="s">
        <v>490</v>
      </c>
      <c r="CE122" t="s">
        <v>490</v>
      </c>
      <c r="CF122" t="s">
        <v>490</v>
      </c>
      <c r="CG122" t="s">
        <v>489</v>
      </c>
      <c r="CH122" t="s">
        <v>490</v>
      </c>
      <c r="CI122" t="s">
        <v>490</v>
      </c>
      <c r="CJ122" t="s">
        <v>489</v>
      </c>
      <c r="CK122" t="s">
        <v>490</v>
      </c>
      <c r="CL122" t="s">
        <v>490</v>
      </c>
      <c r="CM122" t="s">
        <v>489</v>
      </c>
      <c r="CN122" t="s">
        <v>489</v>
      </c>
      <c r="CO122" t="s">
        <v>490</v>
      </c>
      <c r="CP122" t="s">
        <v>490</v>
      </c>
      <c r="CW122" t="s">
        <v>489</v>
      </c>
      <c r="CX122" t="s">
        <v>489</v>
      </c>
      <c r="CY122" t="s">
        <v>490</v>
      </c>
      <c r="CZ122" t="s">
        <v>489</v>
      </c>
      <c r="DA122" t="s">
        <v>489</v>
      </c>
      <c r="DB122" t="s">
        <v>490</v>
      </c>
      <c r="DC122" t="s">
        <v>490</v>
      </c>
      <c r="DD122" t="s">
        <v>490</v>
      </c>
      <c r="DE122" t="s">
        <v>489</v>
      </c>
      <c r="DF122" t="s">
        <v>489</v>
      </c>
      <c r="DG122" t="s">
        <v>489</v>
      </c>
      <c r="DH122" t="s">
        <v>490</v>
      </c>
      <c r="DI122" t="s">
        <v>489</v>
      </c>
      <c r="DJ122" t="s">
        <v>489</v>
      </c>
      <c r="DK122" t="s">
        <v>490</v>
      </c>
      <c r="DL122" t="s">
        <v>489</v>
      </c>
      <c r="DM122" t="s">
        <v>489</v>
      </c>
      <c r="DN122" t="s">
        <v>490</v>
      </c>
      <c r="DO122" t="s">
        <v>490</v>
      </c>
      <c r="DP122" t="s">
        <v>490</v>
      </c>
      <c r="DQ122" t="s">
        <v>489</v>
      </c>
      <c r="DR122" t="s">
        <v>489</v>
      </c>
      <c r="DS122" t="s">
        <v>489</v>
      </c>
      <c r="DT122" t="s">
        <v>490</v>
      </c>
      <c r="DU122" t="s">
        <v>489</v>
      </c>
      <c r="DV122" t="s">
        <v>489</v>
      </c>
      <c r="DW122" t="s">
        <v>490</v>
      </c>
      <c r="DX122" t="s">
        <v>489</v>
      </c>
      <c r="DY122" t="s">
        <v>489</v>
      </c>
      <c r="DZ122" t="s">
        <v>490</v>
      </c>
      <c r="EA122" t="s">
        <v>490</v>
      </c>
      <c r="EB122" t="s">
        <v>489</v>
      </c>
      <c r="EC122" t="s">
        <v>490</v>
      </c>
      <c r="ED122" t="s">
        <v>490</v>
      </c>
      <c r="EE122" t="s">
        <v>489</v>
      </c>
      <c r="EF122" t="s">
        <v>490</v>
      </c>
      <c r="EG122" t="s">
        <v>490</v>
      </c>
      <c r="EH122" t="s">
        <v>490</v>
      </c>
      <c r="EI122" t="s">
        <v>489</v>
      </c>
      <c r="EJ122" t="s">
        <v>490</v>
      </c>
      <c r="EK122" t="s">
        <v>489</v>
      </c>
      <c r="EL122" t="s">
        <v>490</v>
      </c>
      <c r="EM122" t="s">
        <v>490</v>
      </c>
      <c r="EN122" t="s">
        <v>490</v>
      </c>
      <c r="EO122" t="s">
        <v>489</v>
      </c>
      <c r="EP122" t="s">
        <v>490</v>
      </c>
      <c r="EQ122" t="s">
        <v>489</v>
      </c>
      <c r="ER122" t="s">
        <v>490</v>
      </c>
      <c r="ES122" t="s">
        <v>490</v>
      </c>
      <c r="ET122" t="s">
        <v>489</v>
      </c>
      <c r="EU122" t="s">
        <v>490</v>
      </c>
      <c r="EV122" t="s">
        <v>490</v>
      </c>
      <c r="EW122" t="s">
        <v>490</v>
      </c>
      <c r="EX122" t="s">
        <v>489</v>
      </c>
      <c r="EY122">
        <v>90</v>
      </c>
      <c r="EZ122">
        <v>8</v>
      </c>
      <c r="FA122">
        <v>20</v>
      </c>
      <c r="FB122" t="s">
        <v>543</v>
      </c>
      <c r="OH122" s="15">
        <v>8</v>
      </c>
      <c r="OI122" s="15">
        <v>7</v>
      </c>
      <c r="OJ122" s="15">
        <v>9</v>
      </c>
      <c r="OK122" s="15">
        <v>5</v>
      </c>
      <c r="OL122" s="15">
        <v>6</v>
      </c>
      <c r="OM122" s="15">
        <v>7</v>
      </c>
      <c r="ON122" s="15">
        <v>3</v>
      </c>
      <c r="OO122" s="15">
        <v>1</v>
      </c>
      <c r="OQ122" t="s">
        <v>488</v>
      </c>
      <c r="OR122" t="s">
        <v>487</v>
      </c>
      <c r="OS122" t="s">
        <v>489</v>
      </c>
      <c r="OT122" t="s">
        <v>489</v>
      </c>
      <c r="OU122" t="s">
        <v>489</v>
      </c>
      <c r="OV122" t="s">
        <v>489</v>
      </c>
      <c r="OW122" t="s">
        <v>490</v>
      </c>
      <c r="OY122">
        <v>3</v>
      </c>
      <c r="OZ122">
        <v>8</v>
      </c>
      <c r="PA122">
        <v>0</v>
      </c>
      <c r="PB122">
        <v>0</v>
      </c>
      <c r="PC122">
        <v>0</v>
      </c>
      <c r="PD122">
        <v>0</v>
      </c>
      <c r="PE122">
        <v>0</v>
      </c>
      <c r="PF122">
        <v>0</v>
      </c>
      <c r="PG122">
        <v>0</v>
      </c>
      <c r="PH122">
        <v>0</v>
      </c>
      <c r="PI122">
        <v>4</v>
      </c>
      <c r="PJ122">
        <v>9</v>
      </c>
      <c r="PK122">
        <v>0</v>
      </c>
      <c r="PL122">
        <v>0</v>
      </c>
      <c r="PM122">
        <v>0</v>
      </c>
      <c r="PN122">
        <v>0</v>
      </c>
      <c r="PO122">
        <v>0</v>
      </c>
      <c r="PP122">
        <v>0</v>
      </c>
      <c r="PQ122">
        <v>0</v>
      </c>
      <c r="PR122">
        <v>0</v>
      </c>
      <c r="PT122" t="s">
        <v>488</v>
      </c>
      <c r="PU122" t="s">
        <v>515</v>
      </c>
      <c r="PV122">
        <v>35000</v>
      </c>
      <c r="PW122">
        <v>45000</v>
      </c>
      <c r="PX122">
        <v>80000</v>
      </c>
      <c r="PY122" t="s">
        <v>493</v>
      </c>
      <c r="PZ122" t="s">
        <v>493</v>
      </c>
      <c r="QA122">
        <v>15</v>
      </c>
      <c r="QB122">
        <v>85</v>
      </c>
      <c r="QC122">
        <v>5</v>
      </c>
      <c r="QD122">
        <v>95</v>
      </c>
      <c r="QE122" t="s">
        <v>508</v>
      </c>
      <c r="QZ122">
        <v>9</v>
      </c>
      <c r="RA122">
        <v>30</v>
      </c>
      <c r="RB122" t="s">
        <v>489</v>
      </c>
      <c r="RC122" t="s">
        <v>489</v>
      </c>
      <c r="RD122" t="s">
        <v>490</v>
      </c>
      <c r="RE122" t="s">
        <v>489</v>
      </c>
      <c r="RF122" t="s">
        <v>490</v>
      </c>
      <c r="RG122" t="s">
        <v>490</v>
      </c>
      <c r="RH122" t="s">
        <v>490</v>
      </c>
      <c r="RI122" t="s">
        <v>490</v>
      </c>
      <c r="RJ122" t="s">
        <v>556</v>
      </c>
    </row>
    <row r="123" spans="1:486">
      <c r="A123">
        <v>11839</v>
      </c>
      <c r="B123" t="s">
        <v>506</v>
      </c>
      <c r="C123" t="s">
        <v>974</v>
      </c>
      <c r="D123" t="s">
        <v>498</v>
      </c>
      <c r="E123" t="s">
        <v>500</v>
      </c>
      <c r="F123" t="s">
        <v>496</v>
      </c>
      <c r="G123">
        <v>60</v>
      </c>
      <c r="H123" t="s">
        <v>487</v>
      </c>
      <c r="I123" t="s">
        <v>487</v>
      </c>
      <c r="J123" t="s">
        <v>487</v>
      </c>
      <c r="K123" t="s">
        <v>487</v>
      </c>
      <c r="L123" t="s">
        <v>489</v>
      </c>
      <c r="M123" t="s">
        <v>489</v>
      </c>
      <c r="N123" t="s">
        <v>489</v>
      </c>
      <c r="O123" t="s">
        <v>490</v>
      </c>
      <c r="P123" t="s">
        <v>490</v>
      </c>
      <c r="Q123" t="s">
        <v>490</v>
      </c>
      <c r="R123" t="s">
        <v>490</v>
      </c>
      <c r="S123" t="s">
        <v>489</v>
      </c>
      <c r="T123" t="s">
        <v>489</v>
      </c>
      <c r="U123" t="s">
        <v>490</v>
      </c>
      <c r="V123" t="s">
        <v>490</v>
      </c>
      <c r="W123" t="s">
        <v>489</v>
      </c>
      <c r="X123" t="s">
        <v>490</v>
      </c>
      <c r="Y123" t="s">
        <v>490</v>
      </c>
      <c r="Z123" t="s">
        <v>490</v>
      </c>
      <c r="AA123" t="s">
        <v>490</v>
      </c>
      <c r="AB123" t="s">
        <v>489</v>
      </c>
      <c r="AC123" t="s">
        <v>490</v>
      </c>
      <c r="AD123" t="s">
        <v>490</v>
      </c>
      <c r="AE123" t="s">
        <v>489</v>
      </c>
      <c r="AF123" t="s">
        <v>489</v>
      </c>
      <c r="AG123" t="s">
        <v>490</v>
      </c>
      <c r="AH123" t="s">
        <v>490</v>
      </c>
      <c r="AI123" t="s">
        <v>489</v>
      </c>
      <c r="AJ123" t="s">
        <v>490</v>
      </c>
      <c r="AK123" t="s">
        <v>490</v>
      </c>
      <c r="AL123" t="s">
        <v>490</v>
      </c>
      <c r="AM123" t="s">
        <v>490</v>
      </c>
      <c r="AN123" t="s">
        <v>489</v>
      </c>
      <c r="AO123" t="s">
        <v>489</v>
      </c>
      <c r="AP123" t="s">
        <v>490</v>
      </c>
      <c r="AQ123" t="s">
        <v>490</v>
      </c>
      <c r="AR123" t="s">
        <v>489</v>
      </c>
      <c r="AS123" t="s">
        <v>489</v>
      </c>
      <c r="AT123" t="s">
        <v>490</v>
      </c>
      <c r="AU123" t="s">
        <v>489</v>
      </c>
      <c r="AV123" t="s">
        <v>490</v>
      </c>
      <c r="AW123" t="s">
        <v>490</v>
      </c>
      <c r="AX123" t="s">
        <v>489</v>
      </c>
      <c r="AY123" t="s">
        <v>490</v>
      </c>
      <c r="AZ123" t="s">
        <v>490</v>
      </c>
      <c r="BA123" t="s">
        <v>489</v>
      </c>
      <c r="BB123" t="s">
        <v>490</v>
      </c>
      <c r="BC123" t="s">
        <v>490</v>
      </c>
      <c r="BD123" t="s">
        <v>489</v>
      </c>
      <c r="BE123" t="s">
        <v>490</v>
      </c>
      <c r="BF123" t="s">
        <v>490</v>
      </c>
      <c r="BG123" t="s">
        <v>490</v>
      </c>
      <c r="BH123" t="s">
        <v>490</v>
      </c>
      <c r="BI123" t="s">
        <v>489</v>
      </c>
      <c r="BJ123" t="s">
        <v>489</v>
      </c>
      <c r="BK123" t="s">
        <v>489</v>
      </c>
      <c r="BL123" t="s">
        <v>490</v>
      </c>
      <c r="BM123" t="s">
        <v>490</v>
      </c>
      <c r="BN123" t="s">
        <v>490</v>
      </c>
      <c r="BO123" t="s">
        <v>489</v>
      </c>
      <c r="BP123" t="s">
        <v>490</v>
      </c>
      <c r="BQ123" t="s">
        <v>490</v>
      </c>
      <c r="BR123" t="s">
        <v>489</v>
      </c>
      <c r="BS123" t="s">
        <v>490</v>
      </c>
      <c r="BT123" t="s">
        <v>490</v>
      </c>
      <c r="BU123" t="s">
        <v>489</v>
      </c>
      <c r="BV123" t="s">
        <v>489</v>
      </c>
      <c r="BW123" t="s">
        <v>489</v>
      </c>
      <c r="BX123" t="s">
        <v>490</v>
      </c>
      <c r="BY123" t="s">
        <v>489</v>
      </c>
      <c r="BZ123" t="s">
        <v>489</v>
      </c>
      <c r="CA123" t="s">
        <v>490</v>
      </c>
      <c r="EA123" t="s">
        <v>490</v>
      </c>
      <c r="EB123" t="s">
        <v>489</v>
      </c>
      <c r="EC123" t="s">
        <v>490</v>
      </c>
      <c r="ED123" t="s">
        <v>490</v>
      </c>
      <c r="EE123" t="s">
        <v>490</v>
      </c>
      <c r="EF123" t="s">
        <v>489</v>
      </c>
      <c r="EG123" t="s">
        <v>490</v>
      </c>
      <c r="EH123" t="s">
        <v>490</v>
      </c>
      <c r="EI123" t="s">
        <v>489</v>
      </c>
      <c r="EJ123" t="s">
        <v>490</v>
      </c>
      <c r="EK123" t="s">
        <v>489</v>
      </c>
      <c r="EL123" t="s">
        <v>490</v>
      </c>
      <c r="EM123" t="s">
        <v>490</v>
      </c>
      <c r="EN123" t="s">
        <v>490</v>
      </c>
      <c r="EO123" t="s">
        <v>489</v>
      </c>
      <c r="EP123" t="s">
        <v>490</v>
      </c>
      <c r="EQ123" t="s">
        <v>489</v>
      </c>
      <c r="ER123" t="s">
        <v>490</v>
      </c>
      <c r="ES123" t="s">
        <v>490</v>
      </c>
      <c r="ET123" t="s">
        <v>489</v>
      </c>
      <c r="EU123" t="s">
        <v>490</v>
      </c>
      <c r="EV123" t="s">
        <v>490</v>
      </c>
      <c r="EW123" t="s">
        <v>489</v>
      </c>
      <c r="EX123" t="s">
        <v>490</v>
      </c>
      <c r="EY123">
        <v>95</v>
      </c>
      <c r="EZ123">
        <v>4</v>
      </c>
      <c r="FA123">
        <v>70</v>
      </c>
      <c r="FB123" t="s">
        <v>543</v>
      </c>
      <c r="OH123" s="15">
        <v>9</v>
      </c>
      <c r="OI123" s="15">
        <v>6</v>
      </c>
      <c r="OJ123" s="15">
        <v>8</v>
      </c>
      <c r="OK123" s="15">
        <v>2</v>
      </c>
      <c r="OL123" s="15">
        <v>7</v>
      </c>
      <c r="OM123" s="15">
        <v>7</v>
      </c>
      <c r="ON123" s="15">
        <v>6</v>
      </c>
      <c r="OO123" s="15">
        <v>7</v>
      </c>
      <c r="OQ123" t="s">
        <v>487</v>
      </c>
      <c r="OR123" t="s">
        <v>487</v>
      </c>
      <c r="OS123" t="s">
        <v>489</v>
      </c>
      <c r="OT123" t="s">
        <v>490</v>
      </c>
      <c r="OU123" t="s">
        <v>489</v>
      </c>
      <c r="OV123" t="s">
        <v>489</v>
      </c>
      <c r="OW123" t="s">
        <v>490</v>
      </c>
      <c r="OY123">
        <v>100</v>
      </c>
      <c r="OZ123">
        <v>80</v>
      </c>
      <c r="PA123">
        <v>80</v>
      </c>
      <c r="PB123">
        <v>80</v>
      </c>
      <c r="PC123">
        <v>0</v>
      </c>
      <c r="PD123">
        <v>0</v>
      </c>
      <c r="PE123">
        <v>0</v>
      </c>
      <c r="PF123">
        <v>0</v>
      </c>
      <c r="PG123">
        <v>0</v>
      </c>
      <c r="PH123">
        <v>80</v>
      </c>
      <c r="PI123">
        <v>100</v>
      </c>
      <c r="PJ123">
        <v>100</v>
      </c>
      <c r="PK123">
        <v>100</v>
      </c>
      <c r="PL123">
        <v>100</v>
      </c>
      <c r="PM123">
        <v>0</v>
      </c>
      <c r="PN123">
        <v>0</v>
      </c>
      <c r="PO123">
        <v>100</v>
      </c>
      <c r="PP123">
        <v>0</v>
      </c>
      <c r="PQ123">
        <v>0</v>
      </c>
      <c r="PR123">
        <v>100</v>
      </c>
      <c r="PS123" t="s">
        <v>560</v>
      </c>
      <c r="PT123" t="s">
        <v>488</v>
      </c>
      <c r="PU123" t="s">
        <v>515</v>
      </c>
      <c r="PV123">
        <v>500000</v>
      </c>
      <c r="PW123">
        <v>200000</v>
      </c>
      <c r="PX123">
        <v>700000</v>
      </c>
      <c r="PY123" t="s">
        <v>493</v>
      </c>
      <c r="PZ123" t="s">
        <v>493</v>
      </c>
      <c r="QA123">
        <v>75</v>
      </c>
      <c r="QB123">
        <v>25</v>
      </c>
      <c r="QC123">
        <v>50</v>
      </c>
      <c r="QD123">
        <v>50</v>
      </c>
      <c r="QE123" t="s">
        <v>494</v>
      </c>
      <c r="QF123">
        <v>10</v>
      </c>
      <c r="QG123">
        <v>9</v>
      </c>
      <c r="QH123">
        <v>5</v>
      </c>
      <c r="QI123">
        <v>5</v>
      </c>
      <c r="QJ123">
        <v>10</v>
      </c>
      <c r="QK123">
        <v>1</v>
      </c>
      <c r="QL123">
        <v>50</v>
      </c>
      <c r="QM123">
        <v>10</v>
      </c>
      <c r="QN123">
        <v>0</v>
      </c>
      <c r="QP123">
        <v>20</v>
      </c>
      <c r="QQ123">
        <v>10</v>
      </c>
      <c r="QR123">
        <v>7</v>
      </c>
      <c r="QS123">
        <v>3</v>
      </c>
      <c r="QT123">
        <v>10</v>
      </c>
      <c r="QU123">
        <v>25</v>
      </c>
      <c r="QV123">
        <v>10</v>
      </c>
      <c r="QW123">
        <v>15</v>
      </c>
      <c r="QX123">
        <v>0</v>
      </c>
      <c r="QZ123">
        <v>40</v>
      </c>
      <c r="RA123">
        <v>50</v>
      </c>
      <c r="RB123" t="s">
        <v>489</v>
      </c>
      <c r="RC123" t="s">
        <v>490</v>
      </c>
      <c r="RD123" t="s">
        <v>489</v>
      </c>
      <c r="RE123" t="s">
        <v>490</v>
      </c>
      <c r="RF123" t="s">
        <v>489</v>
      </c>
      <c r="RG123" t="s">
        <v>490</v>
      </c>
      <c r="RH123" t="s">
        <v>489</v>
      </c>
      <c r="RI123" t="s">
        <v>490</v>
      </c>
      <c r="RJ123" t="s">
        <v>561</v>
      </c>
      <c r="RR123" t="s">
        <v>562</v>
      </c>
    </row>
    <row r="124" spans="1:486">
      <c r="A124">
        <v>1003371</v>
      </c>
      <c r="B124" t="s">
        <v>503</v>
      </c>
      <c r="C124" t="s">
        <v>972</v>
      </c>
      <c r="D124" t="s">
        <v>498</v>
      </c>
      <c r="E124" t="s">
        <v>500</v>
      </c>
      <c r="F124" t="s">
        <v>496</v>
      </c>
      <c r="G124">
        <v>24.68</v>
      </c>
      <c r="H124" t="s">
        <v>487</v>
      </c>
      <c r="I124" t="s">
        <v>487</v>
      </c>
      <c r="J124" t="s">
        <v>487</v>
      </c>
      <c r="K124" t="s">
        <v>487</v>
      </c>
      <c r="L124" t="s">
        <v>489</v>
      </c>
      <c r="M124" t="s">
        <v>489</v>
      </c>
      <c r="N124" t="s">
        <v>489</v>
      </c>
      <c r="O124" t="s">
        <v>489</v>
      </c>
      <c r="P124" t="s">
        <v>490</v>
      </c>
      <c r="Q124" t="s">
        <v>490</v>
      </c>
      <c r="R124" t="s">
        <v>489</v>
      </c>
      <c r="S124" t="s">
        <v>489</v>
      </c>
      <c r="T124" t="s">
        <v>489</v>
      </c>
      <c r="U124" t="s">
        <v>490</v>
      </c>
      <c r="V124" t="s">
        <v>490</v>
      </c>
      <c r="W124" t="s">
        <v>489</v>
      </c>
      <c r="X124" t="s">
        <v>489</v>
      </c>
      <c r="Y124" t="s">
        <v>490</v>
      </c>
      <c r="Z124" t="s">
        <v>490</v>
      </c>
      <c r="AA124" t="s">
        <v>490</v>
      </c>
      <c r="AB124" t="s">
        <v>489</v>
      </c>
      <c r="AC124" t="s">
        <v>490</v>
      </c>
      <c r="AD124" t="s">
        <v>490</v>
      </c>
      <c r="AE124" t="s">
        <v>489</v>
      </c>
      <c r="AF124" t="s">
        <v>489</v>
      </c>
      <c r="AG124" t="s">
        <v>489</v>
      </c>
      <c r="AH124" t="s">
        <v>490</v>
      </c>
      <c r="AI124" t="s">
        <v>489</v>
      </c>
      <c r="AJ124" t="s">
        <v>489</v>
      </c>
      <c r="AK124" t="s">
        <v>490</v>
      </c>
      <c r="AL124" t="s">
        <v>490</v>
      </c>
      <c r="AM124" t="s">
        <v>490</v>
      </c>
      <c r="AN124" t="s">
        <v>489</v>
      </c>
      <c r="AO124" t="s">
        <v>489</v>
      </c>
      <c r="AP124" t="s">
        <v>489</v>
      </c>
      <c r="AQ124" t="s">
        <v>490</v>
      </c>
      <c r="AR124" t="s">
        <v>489</v>
      </c>
      <c r="AS124" t="s">
        <v>489</v>
      </c>
      <c r="AT124" t="s">
        <v>490</v>
      </c>
      <c r="AU124" t="s">
        <v>489</v>
      </c>
      <c r="AV124" t="s">
        <v>489</v>
      </c>
      <c r="AW124" t="s">
        <v>490</v>
      </c>
      <c r="AX124" t="s">
        <v>490</v>
      </c>
      <c r="AY124" t="s">
        <v>490</v>
      </c>
      <c r="AZ124" t="s">
        <v>489</v>
      </c>
      <c r="BA124" t="s">
        <v>490</v>
      </c>
      <c r="BB124" t="s">
        <v>490</v>
      </c>
      <c r="BC124" t="s">
        <v>489</v>
      </c>
      <c r="BD124" t="s">
        <v>490</v>
      </c>
      <c r="BE124" t="s">
        <v>490</v>
      </c>
      <c r="BF124" t="s">
        <v>489</v>
      </c>
      <c r="BG124" t="s">
        <v>489</v>
      </c>
      <c r="BH124" t="s">
        <v>489</v>
      </c>
      <c r="BI124" t="s">
        <v>490</v>
      </c>
      <c r="BJ124" t="s">
        <v>489</v>
      </c>
      <c r="BK124" t="s">
        <v>489</v>
      </c>
      <c r="BL124" t="s">
        <v>490</v>
      </c>
      <c r="BM124" t="s">
        <v>489</v>
      </c>
      <c r="BN124" t="s">
        <v>489</v>
      </c>
      <c r="BO124" t="s">
        <v>490</v>
      </c>
      <c r="BP124" t="s">
        <v>489</v>
      </c>
      <c r="BQ124" t="s">
        <v>490</v>
      </c>
      <c r="BR124" t="s">
        <v>490</v>
      </c>
      <c r="BS124" t="s">
        <v>489</v>
      </c>
      <c r="BT124" t="s">
        <v>489</v>
      </c>
      <c r="BU124" t="s">
        <v>490</v>
      </c>
      <c r="BV124" t="s">
        <v>490</v>
      </c>
      <c r="BW124" t="s">
        <v>490</v>
      </c>
      <c r="BX124" t="s">
        <v>489</v>
      </c>
      <c r="BY124" t="s">
        <v>489</v>
      </c>
      <c r="BZ124" t="s">
        <v>489</v>
      </c>
      <c r="CA124" t="s">
        <v>490</v>
      </c>
      <c r="CB124" t="s">
        <v>489</v>
      </c>
      <c r="CC124" t="s">
        <v>489</v>
      </c>
      <c r="CD124" t="s">
        <v>490</v>
      </c>
      <c r="CE124" t="s">
        <v>490</v>
      </c>
      <c r="CF124" t="s">
        <v>490</v>
      </c>
      <c r="CG124" t="s">
        <v>489</v>
      </c>
      <c r="CH124" t="s">
        <v>489</v>
      </c>
      <c r="CI124" t="s">
        <v>489</v>
      </c>
      <c r="CJ124" t="s">
        <v>490</v>
      </c>
      <c r="CK124" t="s">
        <v>489</v>
      </c>
      <c r="CL124" t="s">
        <v>489</v>
      </c>
      <c r="CM124" t="s">
        <v>490</v>
      </c>
      <c r="CN124" t="s">
        <v>489</v>
      </c>
      <c r="CO124" t="s">
        <v>489</v>
      </c>
      <c r="CP124" t="s">
        <v>490</v>
      </c>
      <c r="DI124" t="s">
        <v>489</v>
      </c>
      <c r="DJ124" t="s">
        <v>490</v>
      </c>
      <c r="DK124" t="s">
        <v>490</v>
      </c>
      <c r="DL124" t="s">
        <v>489</v>
      </c>
      <c r="DM124" t="s">
        <v>489</v>
      </c>
      <c r="DN124" t="s">
        <v>490</v>
      </c>
      <c r="DO124" t="s">
        <v>490</v>
      </c>
      <c r="DP124" t="s">
        <v>490</v>
      </c>
      <c r="DQ124" t="s">
        <v>489</v>
      </c>
      <c r="DR124" t="s">
        <v>489</v>
      </c>
      <c r="DS124" t="s">
        <v>489</v>
      </c>
      <c r="DT124" t="s">
        <v>490</v>
      </c>
      <c r="DU124" t="s">
        <v>489</v>
      </c>
      <c r="DV124" t="s">
        <v>489</v>
      </c>
      <c r="DW124" t="s">
        <v>490</v>
      </c>
      <c r="DX124" t="s">
        <v>490</v>
      </c>
      <c r="DY124" t="s">
        <v>490</v>
      </c>
      <c r="DZ124" t="s">
        <v>489</v>
      </c>
      <c r="EA124" t="s">
        <v>490</v>
      </c>
      <c r="EB124" t="s">
        <v>489</v>
      </c>
      <c r="EC124" t="s">
        <v>490</v>
      </c>
      <c r="ED124" t="s">
        <v>490</v>
      </c>
      <c r="EE124" t="s">
        <v>490</v>
      </c>
      <c r="EF124" t="s">
        <v>489</v>
      </c>
      <c r="EG124" t="s">
        <v>490</v>
      </c>
      <c r="EH124" t="s">
        <v>490</v>
      </c>
      <c r="EI124" t="s">
        <v>489</v>
      </c>
      <c r="EJ124" t="s">
        <v>490</v>
      </c>
      <c r="EK124" t="s">
        <v>489</v>
      </c>
      <c r="EL124" t="s">
        <v>490</v>
      </c>
      <c r="EM124" t="s">
        <v>490</v>
      </c>
      <c r="EN124" t="s">
        <v>490</v>
      </c>
      <c r="EO124" t="s">
        <v>489</v>
      </c>
      <c r="EP124" t="s">
        <v>490</v>
      </c>
      <c r="EQ124" t="s">
        <v>490</v>
      </c>
      <c r="ER124" t="s">
        <v>489</v>
      </c>
      <c r="ES124" t="s">
        <v>490</v>
      </c>
      <c r="ET124" t="s">
        <v>489</v>
      </c>
      <c r="EU124" t="s">
        <v>490</v>
      </c>
      <c r="EV124" t="s">
        <v>490</v>
      </c>
      <c r="EW124" t="s">
        <v>490</v>
      </c>
      <c r="EX124" t="s">
        <v>489</v>
      </c>
      <c r="EY124">
        <v>70</v>
      </c>
      <c r="EZ124">
        <v>20</v>
      </c>
      <c r="FA124">
        <v>80</v>
      </c>
      <c r="FB124" t="s">
        <v>543</v>
      </c>
      <c r="OH124" s="15">
        <v>10</v>
      </c>
      <c r="OI124" s="15">
        <v>7</v>
      </c>
      <c r="OJ124" s="15">
        <v>10</v>
      </c>
      <c r="OK124" s="15">
        <v>10</v>
      </c>
      <c r="OL124" s="15">
        <v>10</v>
      </c>
      <c r="OM124" s="15">
        <v>10</v>
      </c>
      <c r="ON124" s="15">
        <v>1</v>
      </c>
      <c r="OO124" s="15">
        <v>1</v>
      </c>
      <c r="OQ124" t="s">
        <v>488</v>
      </c>
      <c r="OR124" t="s">
        <v>487</v>
      </c>
      <c r="OS124" t="s">
        <v>489</v>
      </c>
      <c r="OT124" t="s">
        <v>489</v>
      </c>
      <c r="OU124" t="s">
        <v>489</v>
      </c>
      <c r="OV124" t="s">
        <v>489</v>
      </c>
      <c r="OW124" t="s">
        <v>490</v>
      </c>
      <c r="OY124">
        <v>22</v>
      </c>
      <c r="OZ124">
        <v>78</v>
      </c>
      <c r="PA124">
        <v>0</v>
      </c>
      <c r="PB124">
        <v>1</v>
      </c>
      <c r="PC124">
        <v>1</v>
      </c>
      <c r="PD124">
        <v>0</v>
      </c>
      <c r="PE124">
        <v>1</v>
      </c>
      <c r="PF124">
        <v>0</v>
      </c>
      <c r="PG124">
        <v>0</v>
      </c>
      <c r="PH124">
        <v>0</v>
      </c>
      <c r="PI124">
        <v>20</v>
      </c>
      <c r="PJ124">
        <v>80</v>
      </c>
      <c r="PK124">
        <v>2</v>
      </c>
      <c r="PL124">
        <v>2</v>
      </c>
      <c r="PM124">
        <v>3</v>
      </c>
      <c r="PN124">
        <v>1</v>
      </c>
      <c r="PO124">
        <v>2</v>
      </c>
      <c r="PP124">
        <v>1</v>
      </c>
      <c r="PQ124">
        <v>0</v>
      </c>
      <c r="PR124">
        <v>0</v>
      </c>
      <c r="PT124" t="s">
        <v>487</v>
      </c>
      <c r="PU124" t="s">
        <v>497</v>
      </c>
      <c r="PV124">
        <v>136000</v>
      </c>
      <c r="PW124">
        <v>70000</v>
      </c>
      <c r="PX124">
        <v>206000</v>
      </c>
      <c r="PY124" t="s">
        <v>493</v>
      </c>
      <c r="PZ124" t="s">
        <v>493</v>
      </c>
      <c r="QA124">
        <v>0</v>
      </c>
      <c r="QB124">
        <v>100</v>
      </c>
      <c r="QC124">
        <v>70</v>
      </c>
      <c r="QD124">
        <v>30</v>
      </c>
      <c r="QE124" t="s">
        <v>508</v>
      </c>
      <c r="QZ124">
        <v>10.38</v>
      </c>
      <c r="RA124">
        <v>0</v>
      </c>
      <c r="RB124" t="s">
        <v>489</v>
      </c>
      <c r="RC124" t="s">
        <v>490</v>
      </c>
      <c r="RD124" t="s">
        <v>489</v>
      </c>
      <c r="RE124" t="s">
        <v>490</v>
      </c>
      <c r="RF124" t="s">
        <v>489</v>
      </c>
      <c r="RG124" t="s">
        <v>489</v>
      </c>
      <c r="RH124" t="s">
        <v>490</v>
      </c>
      <c r="RI124" t="s">
        <v>490</v>
      </c>
      <c r="RJ124" t="s">
        <v>579</v>
      </c>
      <c r="RQ124" t="s">
        <v>580</v>
      </c>
      <c r="RR124" t="s">
        <v>581</v>
      </c>
    </row>
    <row r="125" spans="1:486">
      <c r="A125">
        <v>1003914</v>
      </c>
      <c r="B125" t="s">
        <v>485</v>
      </c>
      <c r="C125" t="s">
        <v>973</v>
      </c>
      <c r="D125" t="s">
        <v>498</v>
      </c>
      <c r="E125" t="s">
        <v>500</v>
      </c>
      <c r="F125" t="s">
        <v>496</v>
      </c>
      <c r="G125">
        <v>45</v>
      </c>
      <c r="H125" t="s">
        <v>487</v>
      </c>
      <c r="I125" t="s">
        <v>487</v>
      </c>
      <c r="J125" t="s">
        <v>488</v>
      </c>
      <c r="K125" t="s">
        <v>487</v>
      </c>
      <c r="L125" t="s">
        <v>489</v>
      </c>
      <c r="M125" t="s">
        <v>490</v>
      </c>
      <c r="N125" t="s">
        <v>490</v>
      </c>
      <c r="O125" t="s">
        <v>490</v>
      </c>
      <c r="P125" t="s">
        <v>490</v>
      </c>
      <c r="Q125" t="s">
        <v>490</v>
      </c>
      <c r="R125" t="s">
        <v>490</v>
      </c>
      <c r="S125" t="s">
        <v>489</v>
      </c>
      <c r="T125" t="s">
        <v>490</v>
      </c>
      <c r="U125" t="s">
        <v>489</v>
      </c>
      <c r="V125" t="s">
        <v>490</v>
      </c>
      <c r="W125" t="s">
        <v>490</v>
      </c>
      <c r="X125" t="s">
        <v>489</v>
      </c>
      <c r="Y125" t="s">
        <v>490</v>
      </c>
      <c r="Z125" t="s">
        <v>490</v>
      </c>
      <c r="AA125" t="s">
        <v>490</v>
      </c>
      <c r="AB125" t="s">
        <v>489</v>
      </c>
      <c r="AC125" t="s">
        <v>490</v>
      </c>
      <c r="AD125" t="s">
        <v>490</v>
      </c>
      <c r="AE125" t="s">
        <v>489</v>
      </c>
      <c r="AF125" t="s">
        <v>490</v>
      </c>
      <c r="AG125" t="s">
        <v>489</v>
      </c>
      <c r="AH125" t="s">
        <v>490</v>
      </c>
      <c r="AI125" t="s">
        <v>490</v>
      </c>
      <c r="AJ125" t="s">
        <v>489</v>
      </c>
      <c r="AK125" t="s">
        <v>490</v>
      </c>
      <c r="AL125" t="s">
        <v>490</v>
      </c>
      <c r="AM125" t="s">
        <v>489</v>
      </c>
      <c r="AN125" t="s">
        <v>490</v>
      </c>
      <c r="AO125" t="s">
        <v>490</v>
      </c>
      <c r="AP125" t="s">
        <v>489</v>
      </c>
      <c r="AQ125" t="s">
        <v>490</v>
      </c>
      <c r="AR125" t="s">
        <v>490</v>
      </c>
      <c r="AS125" t="s">
        <v>490</v>
      </c>
      <c r="AT125" t="s">
        <v>489</v>
      </c>
      <c r="AU125" t="s">
        <v>489</v>
      </c>
      <c r="AV125" t="s">
        <v>490</v>
      </c>
      <c r="AW125" t="s">
        <v>490</v>
      </c>
      <c r="EA125" t="s">
        <v>490</v>
      </c>
      <c r="EB125" t="s">
        <v>489</v>
      </c>
      <c r="EC125" t="s">
        <v>490</v>
      </c>
      <c r="ED125" t="s">
        <v>490</v>
      </c>
      <c r="EE125" t="s">
        <v>490</v>
      </c>
      <c r="EF125" t="s">
        <v>489</v>
      </c>
      <c r="EG125" t="s">
        <v>490</v>
      </c>
      <c r="EH125" t="s">
        <v>490</v>
      </c>
      <c r="EI125" t="s">
        <v>489</v>
      </c>
      <c r="EJ125" t="s">
        <v>490</v>
      </c>
      <c r="EK125" t="s">
        <v>489</v>
      </c>
      <c r="EL125" t="s">
        <v>490</v>
      </c>
      <c r="EM125" t="s">
        <v>490</v>
      </c>
      <c r="EN125" t="s">
        <v>490</v>
      </c>
      <c r="EO125" t="s">
        <v>489</v>
      </c>
      <c r="EP125" t="s">
        <v>490</v>
      </c>
      <c r="EQ125" t="s">
        <v>490</v>
      </c>
      <c r="ER125" t="s">
        <v>489</v>
      </c>
      <c r="ES125" t="s">
        <v>490</v>
      </c>
      <c r="ET125" t="s">
        <v>490</v>
      </c>
      <c r="EU125" t="s">
        <v>489</v>
      </c>
      <c r="EV125" t="s">
        <v>490</v>
      </c>
      <c r="EW125" t="s">
        <v>490</v>
      </c>
      <c r="EX125" t="s">
        <v>489</v>
      </c>
      <c r="EY125">
        <v>30</v>
      </c>
      <c r="EZ125">
        <v>40</v>
      </c>
      <c r="FA125">
        <v>50</v>
      </c>
      <c r="FB125" t="s">
        <v>491</v>
      </c>
      <c r="OH125" s="15">
        <v>10</v>
      </c>
      <c r="OI125" s="15">
        <v>1</v>
      </c>
      <c r="OJ125" s="15">
        <v>5</v>
      </c>
      <c r="OK125" s="15">
        <v>1</v>
      </c>
      <c r="OL125" s="15">
        <v>1</v>
      </c>
      <c r="OM125" s="15">
        <v>5</v>
      </c>
      <c r="ON125" s="15">
        <v>1</v>
      </c>
      <c r="OO125" s="15">
        <v>1</v>
      </c>
      <c r="OQ125" t="s">
        <v>519</v>
      </c>
      <c r="OR125" t="s">
        <v>487</v>
      </c>
      <c r="OS125" t="s">
        <v>489</v>
      </c>
      <c r="OT125" t="s">
        <v>490</v>
      </c>
      <c r="OU125" t="s">
        <v>490</v>
      </c>
      <c r="OV125" t="s">
        <v>490</v>
      </c>
      <c r="OW125" t="s">
        <v>490</v>
      </c>
      <c r="OY125">
        <v>0</v>
      </c>
      <c r="OZ125">
        <v>30</v>
      </c>
      <c r="PA125">
        <v>0</v>
      </c>
      <c r="PB125">
        <v>0</v>
      </c>
      <c r="PC125">
        <v>0</v>
      </c>
      <c r="PD125">
        <v>0</v>
      </c>
      <c r="PE125">
        <v>0</v>
      </c>
      <c r="PF125">
        <v>0</v>
      </c>
      <c r="PG125">
        <v>0</v>
      </c>
      <c r="PH125">
        <v>0</v>
      </c>
      <c r="PI125">
        <v>0</v>
      </c>
      <c r="PJ125">
        <v>60</v>
      </c>
      <c r="PK125">
        <v>0</v>
      </c>
      <c r="PL125">
        <v>0</v>
      </c>
      <c r="PM125">
        <v>0</v>
      </c>
      <c r="PN125">
        <v>0</v>
      </c>
      <c r="PO125">
        <v>0</v>
      </c>
      <c r="PP125">
        <v>0</v>
      </c>
      <c r="PQ125">
        <v>0</v>
      </c>
      <c r="PR125">
        <v>0</v>
      </c>
      <c r="PT125" t="s">
        <v>488</v>
      </c>
      <c r="PU125" t="s">
        <v>492</v>
      </c>
      <c r="PV125">
        <v>15000</v>
      </c>
      <c r="PW125">
        <v>25000</v>
      </c>
      <c r="PX125">
        <v>40000</v>
      </c>
      <c r="PY125" t="s">
        <v>493</v>
      </c>
      <c r="PZ125" t="s">
        <v>493</v>
      </c>
      <c r="QA125">
        <v>95</v>
      </c>
      <c r="QB125">
        <v>5</v>
      </c>
      <c r="QC125">
        <v>95</v>
      </c>
      <c r="QD125">
        <v>5</v>
      </c>
      <c r="QE125" t="s">
        <v>508</v>
      </c>
      <c r="QZ125">
        <v>3</v>
      </c>
      <c r="RA125">
        <v>3</v>
      </c>
      <c r="RB125" t="s">
        <v>489</v>
      </c>
      <c r="RC125" t="s">
        <v>490</v>
      </c>
      <c r="RD125" t="s">
        <v>489</v>
      </c>
      <c r="RE125" t="s">
        <v>490</v>
      </c>
      <c r="RF125" t="s">
        <v>490</v>
      </c>
      <c r="RG125" t="s">
        <v>490</v>
      </c>
      <c r="RH125" t="s">
        <v>490</v>
      </c>
      <c r="RI125" t="s">
        <v>490</v>
      </c>
      <c r="RJ125" t="s">
        <v>584</v>
      </c>
    </row>
    <row r="126" spans="1:486">
      <c r="A126">
        <v>1003586</v>
      </c>
      <c r="B126" t="s">
        <v>503</v>
      </c>
      <c r="C126" t="s">
        <v>972</v>
      </c>
      <c r="D126" t="s">
        <v>498</v>
      </c>
      <c r="E126" t="s">
        <v>500</v>
      </c>
      <c r="F126" t="s">
        <v>496</v>
      </c>
      <c r="G126">
        <v>41</v>
      </c>
      <c r="H126" t="s">
        <v>487</v>
      </c>
      <c r="I126" t="s">
        <v>487</v>
      </c>
      <c r="J126" t="s">
        <v>488</v>
      </c>
      <c r="K126" t="s">
        <v>487</v>
      </c>
      <c r="L126" t="s">
        <v>489</v>
      </c>
      <c r="M126" t="s">
        <v>489</v>
      </c>
      <c r="N126" t="s">
        <v>489</v>
      </c>
      <c r="O126" t="s">
        <v>489</v>
      </c>
      <c r="P126" t="s">
        <v>490</v>
      </c>
      <c r="Q126" t="s">
        <v>489</v>
      </c>
      <c r="R126" t="s">
        <v>489</v>
      </c>
      <c r="S126" t="s">
        <v>489</v>
      </c>
      <c r="T126" t="s">
        <v>489</v>
      </c>
      <c r="U126" t="s">
        <v>490</v>
      </c>
      <c r="V126" t="s">
        <v>490</v>
      </c>
      <c r="W126" t="s">
        <v>489</v>
      </c>
      <c r="X126" t="s">
        <v>490</v>
      </c>
      <c r="Y126" t="s">
        <v>490</v>
      </c>
      <c r="Z126" t="s">
        <v>490</v>
      </c>
      <c r="AA126" t="s">
        <v>490</v>
      </c>
      <c r="AB126" t="s">
        <v>489</v>
      </c>
      <c r="AC126" t="s">
        <v>489</v>
      </c>
      <c r="AD126" t="s">
        <v>490</v>
      </c>
      <c r="AE126" t="s">
        <v>490</v>
      </c>
      <c r="AF126" t="s">
        <v>489</v>
      </c>
      <c r="AG126" t="s">
        <v>490</v>
      </c>
      <c r="AH126" t="s">
        <v>490</v>
      </c>
      <c r="AI126" t="s">
        <v>489</v>
      </c>
      <c r="AJ126" t="s">
        <v>490</v>
      </c>
      <c r="AK126" t="s">
        <v>490</v>
      </c>
      <c r="AL126" t="s">
        <v>489</v>
      </c>
      <c r="AM126" t="s">
        <v>490</v>
      </c>
      <c r="AN126" t="s">
        <v>490</v>
      </c>
      <c r="AO126" t="s">
        <v>489</v>
      </c>
      <c r="AP126" t="s">
        <v>490</v>
      </c>
      <c r="AQ126" t="s">
        <v>490</v>
      </c>
      <c r="AR126" t="s">
        <v>489</v>
      </c>
      <c r="AS126" t="s">
        <v>490</v>
      </c>
      <c r="AT126" t="s">
        <v>490</v>
      </c>
      <c r="AU126" t="s">
        <v>489</v>
      </c>
      <c r="AV126" t="s">
        <v>490</v>
      </c>
      <c r="AW126" t="s">
        <v>490</v>
      </c>
      <c r="AX126" t="s">
        <v>489</v>
      </c>
      <c r="AY126" t="s">
        <v>490</v>
      </c>
      <c r="AZ126" t="s">
        <v>490</v>
      </c>
      <c r="BA126" t="s">
        <v>489</v>
      </c>
      <c r="BB126" t="s">
        <v>490</v>
      </c>
      <c r="BC126" t="s">
        <v>490</v>
      </c>
      <c r="BD126" t="s">
        <v>489</v>
      </c>
      <c r="BE126" t="s">
        <v>490</v>
      </c>
      <c r="BF126" t="s">
        <v>490</v>
      </c>
      <c r="BG126" t="s">
        <v>490</v>
      </c>
      <c r="BH126" t="s">
        <v>490</v>
      </c>
      <c r="BI126" t="s">
        <v>489</v>
      </c>
      <c r="BJ126" t="s">
        <v>489</v>
      </c>
      <c r="BK126" t="s">
        <v>490</v>
      </c>
      <c r="BL126" t="s">
        <v>490</v>
      </c>
      <c r="BM126" t="s">
        <v>489</v>
      </c>
      <c r="BN126" t="s">
        <v>490</v>
      </c>
      <c r="BO126" t="s">
        <v>490</v>
      </c>
      <c r="BP126" t="s">
        <v>489</v>
      </c>
      <c r="BQ126" t="s">
        <v>490</v>
      </c>
      <c r="BR126" t="s">
        <v>490</v>
      </c>
      <c r="BS126" t="s">
        <v>489</v>
      </c>
      <c r="BT126" t="s">
        <v>490</v>
      </c>
      <c r="BU126" t="s">
        <v>490</v>
      </c>
      <c r="BV126" t="s">
        <v>489</v>
      </c>
      <c r="BW126" t="s">
        <v>489</v>
      </c>
      <c r="BX126" t="s">
        <v>490</v>
      </c>
      <c r="BY126" t="s">
        <v>489</v>
      </c>
      <c r="BZ126" t="s">
        <v>489</v>
      </c>
      <c r="CA126" t="s">
        <v>490</v>
      </c>
      <c r="CB126" t="s">
        <v>490</v>
      </c>
      <c r="CC126" t="s">
        <v>490</v>
      </c>
      <c r="CD126" t="s">
        <v>489</v>
      </c>
      <c r="CE126" t="s">
        <v>489</v>
      </c>
      <c r="CF126" t="s">
        <v>490</v>
      </c>
      <c r="CG126" t="s">
        <v>490</v>
      </c>
      <c r="CH126" t="s">
        <v>489</v>
      </c>
      <c r="CI126" t="s">
        <v>490</v>
      </c>
      <c r="CJ126" t="s">
        <v>490</v>
      </c>
      <c r="CK126" t="s">
        <v>489</v>
      </c>
      <c r="CL126" t="s">
        <v>490</v>
      </c>
      <c r="CM126" t="s">
        <v>490</v>
      </c>
      <c r="CN126" t="s">
        <v>489</v>
      </c>
      <c r="CO126" t="s">
        <v>490</v>
      </c>
      <c r="CP126" t="s">
        <v>490</v>
      </c>
      <c r="CW126" t="s">
        <v>489</v>
      </c>
      <c r="CX126" t="s">
        <v>490</v>
      </c>
      <c r="CY126" t="s">
        <v>490</v>
      </c>
      <c r="CZ126" t="s">
        <v>490</v>
      </c>
      <c r="DA126" t="s">
        <v>490</v>
      </c>
      <c r="DB126" t="s">
        <v>489</v>
      </c>
      <c r="DC126" t="s">
        <v>489</v>
      </c>
      <c r="DD126" t="s">
        <v>490</v>
      </c>
      <c r="DE126" t="s">
        <v>490</v>
      </c>
      <c r="DF126" t="s">
        <v>489</v>
      </c>
      <c r="DG126" t="s">
        <v>490</v>
      </c>
      <c r="DH126" t="s">
        <v>490</v>
      </c>
      <c r="DI126" t="s">
        <v>489</v>
      </c>
      <c r="DJ126" t="s">
        <v>489</v>
      </c>
      <c r="DK126" t="s">
        <v>490</v>
      </c>
      <c r="DL126" t="s">
        <v>489</v>
      </c>
      <c r="DM126" t="s">
        <v>490</v>
      </c>
      <c r="DN126" t="s">
        <v>490</v>
      </c>
      <c r="DO126" t="s">
        <v>490</v>
      </c>
      <c r="DP126" t="s">
        <v>490</v>
      </c>
      <c r="DQ126" t="s">
        <v>489</v>
      </c>
      <c r="DR126" t="s">
        <v>489</v>
      </c>
      <c r="DS126" t="s">
        <v>489</v>
      </c>
      <c r="DT126" t="s">
        <v>490</v>
      </c>
      <c r="DU126" t="s">
        <v>489</v>
      </c>
      <c r="DV126" t="s">
        <v>489</v>
      </c>
      <c r="DW126" t="s">
        <v>490</v>
      </c>
      <c r="DX126" t="s">
        <v>490</v>
      </c>
      <c r="DY126" t="s">
        <v>490</v>
      </c>
      <c r="DZ126" t="s">
        <v>489</v>
      </c>
      <c r="EA126" t="s">
        <v>490</v>
      </c>
      <c r="EB126" t="s">
        <v>489</v>
      </c>
      <c r="EC126" t="s">
        <v>490</v>
      </c>
      <c r="ED126" t="s">
        <v>490</v>
      </c>
      <c r="EE126" t="s">
        <v>490</v>
      </c>
      <c r="EF126" t="s">
        <v>489</v>
      </c>
      <c r="EG126" t="s">
        <v>490</v>
      </c>
      <c r="EH126" t="s">
        <v>490</v>
      </c>
      <c r="EI126" t="s">
        <v>489</v>
      </c>
      <c r="EJ126" t="s">
        <v>490</v>
      </c>
      <c r="EK126" t="s">
        <v>490</v>
      </c>
      <c r="EL126" t="s">
        <v>489</v>
      </c>
      <c r="EM126" t="s">
        <v>490</v>
      </c>
      <c r="EN126" t="s">
        <v>490</v>
      </c>
      <c r="EO126" t="s">
        <v>489</v>
      </c>
      <c r="EP126" t="s">
        <v>490</v>
      </c>
      <c r="EQ126" t="s">
        <v>490</v>
      </c>
      <c r="ER126" t="s">
        <v>489</v>
      </c>
      <c r="ES126" t="s">
        <v>490</v>
      </c>
      <c r="ET126" t="s">
        <v>489</v>
      </c>
      <c r="EU126" t="s">
        <v>490</v>
      </c>
      <c r="EV126" t="s">
        <v>490</v>
      </c>
      <c r="EW126" t="s">
        <v>490</v>
      </c>
      <c r="EX126" t="s">
        <v>489</v>
      </c>
      <c r="EY126">
        <v>75</v>
      </c>
      <c r="EZ126">
        <v>2</v>
      </c>
      <c r="FA126">
        <v>8</v>
      </c>
      <c r="FB126" t="s">
        <v>543</v>
      </c>
      <c r="OH126" s="15">
        <v>7</v>
      </c>
      <c r="OI126" s="15">
        <v>6</v>
      </c>
      <c r="OJ126" s="15">
        <v>7</v>
      </c>
      <c r="OK126" s="15">
        <v>5</v>
      </c>
      <c r="OL126" s="15">
        <v>8</v>
      </c>
      <c r="OM126" s="15">
        <v>9</v>
      </c>
      <c r="ON126" s="15">
        <v>1</v>
      </c>
      <c r="OO126" s="15">
        <v>1</v>
      </c>
      <c r="OQ126" t="s">
        <v>488</v>
      </c>
      <c r="OR126" t="s">
        <v>487</v>
      </c>
      <c r="OS126" t="s">
        <v>490</v>
      </c>
      <c r="OT126" t="s">
        <v>490</v>
      </c>
      <c r="OU126" t="s">
        <v>489</v>
      </c>
      <c r="OV126" t="s">
        <v>490</v>
      </c>
      <c r="OW126" t="s">
        <v>490</v>
      </c>
      <c r="OY126">
        <v>85</v>
      </c>
      <c r="OZ126">
        <v>0</v>
      </c>
      <c r="PA126">
        <v>40</v>
      </c>
      <c r="PB126">
        <v>40</v>
      </c>
      <c r="PC126">
        <v>0</v>
      </c>
      <c r="PD126">
        <v>5</v>
      </c>
      <c r="PE126">
        <v>1</v>
      </c>
      <c r="PF126">
        <v>40</v>
      </c>
      <c r="PG126">
        <v>20</v>
      </c>
      <c r="PH126">
        <v>0</v>
      </c>
      <c r="PI126">
        <v>90</v>
      </c>
      <c r="PJ126">
        <v>0</v>
      </c>
      <c r="PK126">
        <v>80</v>
      </c>
      <c r="PL126">
        <v>80</v>
      </c>
      <c r="PM126">
        <v>0</v>
      </c>
      <c r="PN126">
        <v>10</v>
      </c>
      <c r="PO126">
        <v>2</v>
      </c>
      <c r="PP126">
        <v>80</v>
      </c>
      <c r="PQ126">
        <v>40</v>
      </c>
      <c r="PR126">
        <v>0</v>
      </c>
      <c r="PT126" t="s">
        <v>488</v>
      </c>
      <c r="PU126" t="s">
        <v>497</v>
      </c>
      <c r="PV126">
        <v>15000</v>
      </c>
      <c r="PW126">
        <v>0</v>
      </c>
      <c r="PX126">
        <v>15000</v>
      </c>
      <c r="PY126" t="s">
        <v>535</v>
      </c>
      <c r="PZ126" t="s">
        <v>535</v>
      </c>
      <c r="QA126">
        <v>30</v>
      </c>
      <c r="QB126">
        <v>70</v>
      </c>
      <c r="QC126">
        <v>70</v>
      </c>
      <c r="QD126">
        <v>30</v>
      </c>
      <c r="QE126" t="s">
        <v>508</v>
      </c>
      <c r="QZ126">
        <v>0.3</v>
      </c>
      <c r="RA126">
        <v>5</v>
      </c>
      <c r="RB126" t="s">
        <v>489</v>
      </c>
      <c r="RC126" t="s">
        <v>490</v>
      </c>
      <c r="RD126" t="s">
        <v>490</v>
      </c>
      <c r="RE126" t="s">
        <v>490</v>
      </c>
      <c r="RF126" t="s">
        <v>490</v>
      </c>
      <c r="RG126" t="s">
        <v>490</v>
      </c>
      <c r="RH126" t="s">
        <v>490</v>
      </c>
      <c r="RI126" t="s">
        <v>490</v>
      </c>
      <c r="RJ126" t="s">
        <v>589</v>
      </c>
      <c r="RL126" t="s">
        <v>590</v>
      </c>
      <c r="RR126" t="s">
        <v>591</v>
      </c>
    </row>
    <row r="127" spans="1:486">
      <c r="A127">
        <v>11922</v>
      </c>
      <c r="B127" t="s">
        <v>503</v>
      </c>
      <c r="C127" t="s">
        <v>972</v>
      </c>
      <c r="D127" t="s">
        <v>498</v>
      </c>
      <c r="E127" t="s">
        <v>500</v>
      </c>
      <c r="F127" t="s">
        <v>516</v>
      </c>
      <c r="G127">
        <v>13</v>
      </c>
      <c r="H127" t="s">
        <v>487</v>
      </c>
      <c r="I127" t="s">
        <v>488</v>
      </c>
      <c r="J127" t="s">
        <v>488</v>
      </c>
      <c r="K127" t="s">
        <v>487</v>
      </c>
      <c r="L127" t="s">
        <v>489</v>
      </c>
      <c r="M127" t="s">
        <v>489</v>
      </c>
      <c r="N127" t="s">
        <v>489</v>
      </c>
      <c r="O127" t="s">
        <v>489</v>
      </c>
      <c r="P127" t="s">
        <v>490</v>
      </c>
      <c r="Q127" t="s">
        <v>489</v>
      </c>
      <c r="R127" t="s">
        <v>489</v>
      </c>
      <c r="S127" t="s">
        <v>489</v>
      </c>
      <c r="T127" t="s">
        <v>489</v>
      </c>
      <c r="U127" t="s">
        <v>490</v>
      </c>
      <c r="V127" t="s">
        <v>490</v>
      </c>
      <c r="W127" t="s">
        <v>489</v>
      </c>
      <c r="X127" t="s">
        <v>490</v>
      </c>
      <c r="Y127" t="s">
        <v>490</v>
      </c>
      <c r="Z127" t="s">
        <v>490</v>
      </c>
      <c r="AA127" t="s">
        <v>490</v>
      </c>
      <c r="AB127" t="s">
        <v>489</v>
      </c>
      <c r="AC127" t="s">
        <v>490</v>
      </c>
      <c r="AD127" t="s">
        <v>490</v>
      </c>
      <c r="AE127" t="s">
        <v>489</v>
      </c>
      <c r="AF127" t="s">
        <v>490</v>
      </c>
      <c r="AG127" t="s">
        <v>490</v>
      </c>
      <c r="AH127" t="s">
        <v>489</v>
      </c>
      <c r="AI127" t="s">
        <v>489</v>
      </c>
      <c r="AJ127" t="s">
        <v>490</v>
      </c>
      <c r="AK127" t="s">
        <v>490</v>
      </c>
      <c r="AL127" t="s">
        <v>490</v>
      </c>
      <c r="AM127" t="s">
        <v>490</v>
      </c>
      <c r="AN127" t="s">
        <v>489</v>
      </c>
      <c r="AO127" t="s">
        <v>489</v>
      </c>
      <c r="AP127" t="s">
        <v>490</v>
      </c>
      <c r="AQ127" t="s">
        <v>490</v>
      </c>
      <c r="AR127" t="s">
        <v>490</v>
      </c>
      <c r="AS127" t="s">
        <v>490</v>
      </c>
      <c r="AT127" t="s">
        <v>489</v>
      </c>
      <c r="AU127" t="s">
        <v>489</v>
      </c>
      <c r="AV127" t="s">
        <v>490</v>
      </c>
      <c r="AW127" t="s">
        <v>490</v>
      </c>
      <c r="AX127" t="s">
        <v>489</v>
      </c>
      <c r="AY127" t="s">
        <v>490</v>
      </c>
      <c r="AZ127" t="s">
        <v>490</v>
      </c>
      <c r="BA127" t="s">
        <v>489</v>
      </c>
      <c r="BB127" t="s">
        <v>490</v>
      </c>
      <c r="BC127" t="s">
        <v>490</v>
      </c>
      <c r="BD127" t="s">
        <v>489</v>
      </c>
      <c r="BE127" t="s">
        <v>490</v>
      </c>
      <c r="BF127" t="s">
        <v>490</v>
      </c>
      <c r="BG127" t="s">
        <v>489</v>
      </c>
      <c r="BH127" t="s">
        <v>490</v>
      </c>
      <c r="BI127" t="s">
        <v>490</v>
      </c>
      <c r="BJ127" t="s">
        <v>489</v>
      </c>
      <c r="BK127" t="s">
        <v>490</v>
      </c>
      <c r="BL127" t="s">
        <v>490</v>
      </c>
      <c r="BM127" t="s">
        <v>490</v>
      </c>
      <c r="BN127" t="s">
        <v>490</v>
      </c>
      <c r="BO127" t="s">
        <v>489</v>
      </c>
      <c r="BP127" t="s">
        <v>490</v>
      </c>
      <c r="BQ127" t="s">
        <v>490</v>
      </c>
      <c r="BR127" t="s">
        <v>489</v>
      </c>
      <c r="BS127" t="s">
        <v>490</v>
      </c>
      <c r="BT127" t="s">
        <v>490</v>
      </c>
      <c r="BU127" t="s">
        <v>489</v>
      </c>
      <c r="BV127" t="s">
        <v>489</v>
      </c>
      <c r="BW127" t="s">
        <v>490</v>
      </c>
      <c r="BX127" t="s">
        <v>490</v>
      </c>
      <c r="BY127" t="s">
        <v>489</v>
      </c>
      <c r="BZ127" t="s">
        <v>490</v>
      </c>
      <c r="CA127" t="s">
        <v>490</v>
      </c>
      <c r="CB127" t="s">
        <v>489</v>
      </c>
      <c r="CC127" t="s">
        <v>490</v>
      </c>
      <c r="CD127" t="s">
        <v>490</v>
      </c>
      <c r="CE127" t="s">
        <v>489</v>
      </c>
      <c r="CF127" t="s">
        <v>490</v>
      </c>
      <c r="CG127" t="s">
        <v>490</v>
      </c>
      <c r="CH127" t="s">
        <v>489</v>
      </c>
      <c r="CI127" t="s">
        <v>490</v>
      </c>
      <c r="CJ127" t="s">
        <v>490</v>
      </c>
      <c r="CK127" t="s">
        <v>490</v>
      </c>
      <c r="CL127" t="s">
        <v>490</v>
      </c>
      <c r="CM127" t="s">
        <v>489</v>
      </c>
      <c r="CN127" t="s">
        <v>489</v>
      </c>
      <c r="CO127" t="s">
        <v>490</v>
      </c>
      <c r="CP127" t="s">
        <v>490</v>
      </c>
      <c r="CW127" t="s">
        <v>489</v>
      </c>
      <c r="CX127" t="s">
        <v>490</v>
      </c>
      <c r="CY127" t="s">
        <v>490</v>
      </c>
      <c r="CZ127" t="s">
        <v>489</v>
      </c>
      <c r="DA127" t="s">
        <v>490</v>
      </c>
      <c r="DB127" t="s">
        <v>490</v>
      </c>
      <c r="DC127" t="s">
        <v>489</v>
      </c>
      <c r="DD127" t="s">
        <v>490</v>
      </c>
      <c r="DE127" t="s">
        <v>490</v>
      </c>
      <c r="DF127" t="s">
        <v>489</v>
      </c>
      <c r="DG127" t="s">
        <v>490</v>
      </c>
      <c r="DH127" t="s">
        <v>490</v>
      </c>
      <c r="DI127" t="s">
        <v>490</v>
      </c>
      <c r="DJ127" t="s">
        <v>490</v>
      </c>
      <c r="DK127" t="s">
        <v>489</v>
      </c>
      <c r="DL127" t="s">
        <v>489</v>
      </c>
      <c r="DM127" t="s">
        <v>490</v>
      </c>
      <c r="DN127" t="s">
        <v>490</v>
      </c>
      <c r="DO127" t="s">
        <v>490</v>
      </c>
      <c r="DP127" t="s">
        <v>490</v>
      </c>
      <c r="DQ127" t="s">
        <v>489</v>
      </c>
      <c r="DR127" t="s">
        <v>489</v>
      </c>
      <c r="DS127" t="s">
        <v>490</v>
      </c>
      <c r="DT127" t="s">
        <v>490</v>
      </c>
      <c r="DU127" t="s">
        <v>489</v>
      </c>
      <c r="DV127" t="s">
        <v>490</v>
      </c>
      <c r="DW127" t="s">
        <v>490</v>
      </c>
      <c r="DX127" t="s">
        <v>490</v>
      </c>
      <c r="DY127" t="s">
        <v>490</v>
      </c>
      <c r="DZ127" t="s">
        <v>489</v>
      </c>
      <c r="EA127" t="s">
        <v>490</v>
      </c>
      <c r="EB127" t="s">
        <v>490</v>
      </c>
      <c r="EC127" t="s">
        <v>489</v>
      </c>
      <c r="ED127" t="s">
        <v>490</v>
      </c>
      <c r="EE127" t="s">
        <v>490</v>
      </c>
      <c r="EF127" t="s">
        <v>489</v>
      </c>
      <c r="EG127" t="s">
        <v>490</v>
      </c>
      <c r="EH127" t="s">
        <v>490</v>
      </c>
      <c r="EI127" t="s">
        <v>489</v>
      </c>
      <c r="EJ127" t="s">
        <v>490</v>
      </c>
      <c r="EK127" t="s">
        <v>490</v>
      </c>
      <c r="EL127" t="s">
        <v>489</v>
      </c>
      <c r="EM127" t="s">
        <v>490</v>
      </c>
      <c r="EN127" t="s">
        <v>490</v>
      </c>
      <c r="EO127" t="s">
        <v>489</v>
      </c>
      <c r="EP127" t="s">
        <v>490</v>
      </c>
      <c r="EQ127" t="s">
        <v>490</v>
      </c>
      <c r="ER127" t="s">
        <v>489</v>
      </c>
      <c r="ES127" t="s">
        <v>490</v>
      </c>
      <c r="ET127" t="s">
        <v>490</v>
      </c>
      <c r="EU127" t="s">
        <v>489</v>
      </c>
      <c r="EV127" t="s">
        <v>490</v>
      </c>
      <c r="EW127" t="s">
        <v>490</v>
      </c>
      <c r="EX127" t="s">
        <v>489</v>
      </c>
      <c r="EY127">
        <v>60</v>
      </c>
      <c r="EZ127">
        <v>0</v>
      </c>
      <c r="FA127">
        <v>100</v>
      </c>
      <c r="FB127" t="s">
        <v>491</v>
      </c>
      <c r="FC127">
        <v>25</v>
      </c>
      <c r="FE127">
        <v>300</v>
      </c>
      <c r="FM127">
        <v>100</v>
      </c>
      <c r="FQ127">
        <v>100</v>
      </c>
      <c r="FU127">
        <v>50</v>
      </c>
      <c r="HK127">
        <v>50</v>
      </c>
      <c r="HL127">
        <v>15</v>
      </c>
      <c r="HM127">
        <v>30</v>
      </c>
      <c r="HN127">
        <v>100</v>
      </c>
      <c r="HO127">
        <v>600</v>
      </c>
      <c r="IJ127">
        <v>100</v>
      </c>
      <c r="IL127">
        <v>0</v>
      </c>
      <c r="IM127">
        <v>100</v>
      </c>
      <c r="IN127">
        <v>0</v>
      </c>
      <c r="IO127">
        <v>0</v>
      </c>
      <c r="IP127">
        <v>100</v>
      </c>
      <c r="IQ127">
        <v>0</v>
      </c>
      <c r="IS127">
        <v>100</v>
      </c>
      <c r="IV127">
        <v>100</v>
      </c>
      <c r="JG127">
        <v>500</v>
      </c>
      <c r="JI127">
        <v>500</v>
      </c>
      <c r="JS127">
        <v>0</v>
      </c>
      <c r="JT127">
        <v>100</v>
      </c>
      <c r="JU127">
        <v>0</v>
      </c>
      <c r="JY127">
        <v>0</v>
      </c>
      <c r="JZ127">
        <v>100</v>
      </c>
      <c r="KA127">
        <v>0</v>
      </c>
      <c r="KE127">
        <v>4000</v>
      </c>
      <c r="KF127">
        <v>20</v>
      </c>
      <c r="KG127">
        <v>1000</v>
      </c>
      <c r="KI127">
        <v>0</v>
      </c>
      <c r="KO127">
        <v>0</v>
      </c>
      <c r="KP127">
        <v>100</v>
      </c>
      <c r="KQ127">
        <v>0</v>
      </c>
      <c r="KR127">
        <v>0</v>
      </c>
      <c r="KS127">
        <v>100</v>
      </c>
      <c r="KT127">
        <v>0</v>
      </c>
      <c r="KU127">
        <v>0</v>
      </c>
      <c r="KV127">
        <v>100</v>
      </c>
      <c r="KW127">
        <v>0</v>
      </c>
      <c r="LN127">
        <v>45</v>
      </c>
      <c r="LO127">
        <v>2</v>
      </c>
      <c r="LP127">
        <v>1</v>
      </c>
      <c r="LQ127">
        <v>100</v>
      </c>
      <c r="LR127">
        <v>0</v>
      </c>
      <c r="LS127">
        <v>100</v>
      </c>
      <c r="LT127">
        <v>0</v>
      </c>
      <c r="LU127">
        <v>0</v>
      </c>
      <c r="LV127">
        <v>100</v>
      </c>
      <c r="LW127">
        <v>0</v>
      </c>
      <c r="LX127">
        <v>0</v>
      </c>
      <c r="LY127">
        <v>100</v>
      </c>
      <c r="LZ127">
        <v>0</v>
      </c>
      <c r="MA127">
        <v>0</v>
      </c>
      <c r="MB127">
        <v>100</v>
      </c>
      <c r="MC127">
        <v>0</v>
      </c>
      <c r="MI127">
        <v>15</v>
      </c>
      <c r="MK127">
        <v>0</v>
      </c>
      <c r="ML127">
        <v>0</v>
      </c>
      <c r="NS127">
        <v>0</v>
      </c>
      <c r="NT127">
        <v>100</v>
      </c>
      <c r="NU127">
        <v>0</v>
      </c>
      <c r="OH127" s="15">
        <v>0</v>
      </c>
      <c r="OI127" s="15">
        <v>0</v>
      </c>
      <c r="OJ127" s="15">
        <v>0</v>
      </c>
      <c r="OK127" s="15">
        <v>0</v>
      </c>
      <c r="OL127" s="15">
        <v>0</v>
      </c>
      <c r="OM127" s="15">
        <v>0</v>
      </c>
      <c r="ON127" s="15">
        <v>0</v>
      </c>
      <c r="OO127" s="15">
        <v>0</v>
      </c>
      <c r="RJ127" t="s">
        <v>594</v>
      </c>
    </row>
    <row r="128" spans="1:486">
      <c r="A128">
        <v>11920</v>
      </c>
      <c r="B128" t="s">
        <v>503</v>
      </c>
      <c r="C128" t="s">
        <v>972</v>
      </c>
      <c r="D128" t="s">
        <v>498</v>
      </c>
      <c r="E128" t="s">
        <v>500</v>
      </c>
      <c r="F128" t="s">
        <v>505</v>
      </c>
      <c r="G128">
        <v>4</v>
      </c>
      <c r="H128" t="s">
        <v>487</v>
      </c>
      <c r="I128" t="s">
        <v>487</v>
      </c>
      <c r="J128" t="s">
        <v>488</v>
      </c>
      <c r="K128" t="s">
        <v>519</v>
      </c>
      <c r="L128" t="s">
        <v>490</v>
      </c>
      <c r="M128" t="s">
        <v>490</v>
      </c>
      <c r="N128" t="s">
        <v>490</v>
      </c>
      <c r="O128" t="s">
        <v>490</v>
      </c>
      <c r="P128" t="s">
        <v>489</v>
      </c>
      <c r="Q128" t="s">
        <v>490</v>
      </c>
      <c r="R128" t="s">
        <v>490</v>
      </c>
      <c r="S128" t="s">
        <v>490</v>
      </c>
      <c r="CQ128" t="s">
        <v>490</v>
      </c>
      <c r="CR128" t="s">
        <v>490</v>
      </c>
      <c r="CS128" t="s">
        <v>489</v>
      </c>
      <c r="CT128" t="s">
        <v>489</v>
      </c>
      <c r="CU128" t="s">
        <v>489</v>
      </c>
      <c r="CV128" t="s">
        <v>490</v>
      </c>
      <c r="EY128">
        <v>60</v>
      </c>
      <c r="EZ128">
        <v>0</v>
      </c>
      <c r="FA128">
        <v>0</v>
      </c>
      <c r="FB128" t="s">
        <v>491</v>
      </c>
      <c r="LE128">
        <v>1200</v>
      </c>
      <c r="LG128">
        <v>2000</v>
      </c>
      <c r="LK128">
        <v>0</v>
      </c>
      <c r="LL128">
        <v>40</v>
      </c>
      <c r="LM128">
        <v>60</v>
      </c>
      <c r="OH128" s="15">
        <v>6</v>
      </c>
      <c r="OI128" s="15">
        <v>2</v>
      </c>
      <c r="OJ128" s="15">
        <v>2</v>
      </c>
      <c r="OK128" s="15">
        <v>1</v>
      </c>
      <c r="OL128" s="15">
        <v>1</v>
      </c>
      <c r="OM128" s="15">
        <v>3</v>
      </c>
      <c r="ON128" s="15">
        <v>1</v>
      </c>
      <c r="OO128" s="15">
        <v>8</v>
      </c>
      <c r="OQ128" t="s">
        <v>488</v>
      </c>
      <c r="OR128" t="s">
        <v>488</v>
      </c>
      <c r="OY128">
        <v>60</v>
      </c>
      <c r="OZ128">
        <v>0</v>
      </c>
      <c r="PA128">
        <v>0</v>
      </c>
      <c r="PB128">
        <v>0</v>
      </c>
      <c r="PC128">
        <v>0</v>
      </c>
      <c r="PD128">
        <v>0</v>
      </c>
      <c r="PE128">
        <v>0</v>
      </c>
      <c r="PF128">
        <v>0</v>
      </c>
      <c r="PG128">
        <v>0</v>
      </c>
      <c r="PH128">
        <v>60</v>
      </c>
      <c r="PI128">
        <v>80</v>
      </c>
      <c r="PJ128">
        <v>0</v>
      </c>
      <c r="PK128">
        <v>0</v>
      </c>
      <c r="PL128">
        <v>0</v>
      </c>
      <c r="PM128">
        <v>0</v>
      </c>
      <c r="PN128">
        <v>0</v>
      </c>
      <c r="PO128">
        <v>0</v>
      </c>
      <c r="PP128">
        <v>0</v>
      </c>
      <c r="PQ128">
        <v>0</v>
      </c>
      <c r="PR128">
        <v>80</v>
      </c>
      <c r="PS128" t="s">
        <v>595</v>
      </c>
      <c r="PT128" t="s">
        <v>488</v>
      </c>
      <c r="PU128" t="s">
        <v>515</v>
      </c>
      <c r="PV128">
        <v>1000</v>
      </c>
      <c r="PW128">
        <v>0</v>
      </c>
      <c r="PX128">
        <v>1000</v>
      </c>
      <c r="PY128" t="s">
        <v>493</v>
      </c>
      <c r="PZ128" t="s">
        <v>493</v>
      </c>
      <c r="QA128">
        <v>90</v>
      </c>
      <c r="QB128">
        <v>10</v>
      </c>
      <c r="QC128">
        <v>100</v>
      </c>
      <c r="QD128">
        <v>0</v>
      </c>
      <c r="QE128" t="s">
        <v>508</v>
      </c>
      <c r="QZ128">
        <v>1</v>
      </c>
      <c r="RA128">
        <v>2</v>
      </c>
      <c r="RB128" t="s">
        <v>489</v>
      </c>
      <c r="RC128" t="s">
        <v>490</v>
      </c>
      <c r="RD128" t="s">
        <v>490</v>
      </c>
      <c r="RE128" t="s">
        <v>490</v>
      </c>
      <c r="RF128" t="s">
        <v>490</v>
      </c>
      <c r="RG128" t="s">
        <v>490</v>
      </c>
      <c r="RH128" t="s">
        <v>490</v>
      </c>
      <c r="RI128" t="s">
        <v>490</v>
      </c>
      <c r="RJ128" t="s">
        <v>596</v>
      </c>
      <c r="RL128" t="s">
        <v>597</v>
      </c>
      <c r="RR128" t="s">
        <v>598</v>
      </c>
    </row>
    <row r="129" spans="1:486">
      <c r="A129">
        <v>11910</v>
      </c>
      <c r="B129" t="s">
        <v>506</v>
      </c>
      <c r="C129" t="s">
        <v>974</v>
      </c>
      <c r="D129" t="s">
        <v>498</v>
      </c>
      <c r="E129" t="s">
        <v>500</v>
      </c>
      <c r="F129" t="s">
        <v>517</v>
      </c>
      <c r="G129">
        <v>175</v>
      </c>
      <c r="H129" t="s">
        <v>487</v>
      </c>
      <c r="I129" t="s">
        <v>487</v>
      </c>
      <c r="J129" t="s">
        <v>488</v>
      </c>
      <c r="K129" t="s">
        <v>487</v>
      </c>
      <c r="L129" t="s">
        <v>489</v>
      </c>
      <c r="M129" t="s">
        <v>489</v>
      </c>
      <c r="N129" t="s">
        <v>489</v>
      </c>
      <c r="O129" t="s">
        <v>489</v>
      </c>
      <c r="P129" t="s">
        <v>490</v>
      </c>
      <c r="Q129" t="s">
        <v>490</v>
      </c>
      <c r="R129" t="s">
        <v>489</v>
      </c>
      <c r="S129" t="s">
        <v>490</v>
      </c>
      <c r="T129" t="s">
        <v>490</v>
      </c>
      <c r="U129" t="s">
        <v>490</v>
      </c>
      <c r="V129" t="s">
        <v>489</v>
      </c>
      <c r="W129" t="s">
        <v>490</v>
      </c>
      <c r="X129" t="s">
        <v>490</v>
      </c>
      <c r="Y129" t="s">
        <v>489</v>
      </c>
      <c r="Z129" t="s">
        <v>490</v>
      </c>
      <c r="AA129" t="s">
        <v>489</v>
      </c>
      <c r="AB129" t="s">
        <v>490</v>
      </c>
      <c r="AC129" t="s">
        <v>489</v>
      </c>
      <c r="AD129" t="s">
        <v>489</v>
      </c>
      <c r="AE129" t="s">
        <v>490</v>
      </c>
      <c r="AF129" t="s">
        <v>490</v>
      </c>
      <c r="AG129" t="s">
        <v>490</v>
      </c>
      <c r="AH129" t="s">
        <v>489</v>
      </c>
      <c r="AI129" t="s">
        <v>490</v>
      </c>
      <c r="AJ129" t="s">
        <v>490</v>
      </c>
      <c r="AK129" t="s">
        <v>489</v>
      </c>
      <c r="AL129" t="s">
        <v>490</v>
      </c>
      <c r="AM129" t="s">
        <v>490</v>
      </c>
      <c r="AN129" t="s">
        <v>489</v>
      </c>
      <c r="AO129" t="s">
        <v>489</v>
      </c>
      <c r="AP129" t="s">
        <v>490</v>
      </c>
      <c r="AQ129" t="s">
        <v>490</v>
      </c>
      <c r="AR129" t="s">
        <v>490</v>
      </c>
      <c r="AS129" t="s">
        <v>490</v>
      </c>
      <c r="AT129" t="s">
        <v>489</v>
      </c>
      <c r="AU129" t="s">
        <v>489</v>
      </c>
      <c r="AV129" t="s">
        <v>490</v>
      </c>
      <c r="AW129" t="s">
        <v>490</v>
      </c>
      <c r="AX129" t="s">
        <v>489</v>
      </c>
      <c r="AY129" t="s">
        <v>489</v>
      </c>
      <c r="AZ129" t="s">
        <v>490</v>
      </c>
      <c r="BA129" t="s">
        <v>489</v>
      </c>
      <c r="BB129" t="s">
        <v>489</v>
      </c>
      <c r="BC129" t="s">
        <v>490</v>
      </c>
      <c r="BD129" t="s">
        <v>489</v>
      </c>
      <c r="BE129" t="s">
        <v>489</v>
      </c>
      <c r="BF129" t="s">
        <v>490</v>
      </c>
      <c r="BG129" t="s">
        <v>489</v>
      </c>
      <c r="BH129" t="s">
        <v>489</v>
      </c>
      <c r="BI129" t="s">
        <v>490</v>
      </c>
      <c r="BJ129" t="s">
        <v>489</v>
      </c>
      <c r="BK129" t="s">
        <v>489</v>
      </c>
      <c r="BL129" t="s">
        <v>490</v>
      </c>
      <c r="BM129" t="s">
        <v>489</v>
      </c>
      <c r="BN129" t="s">
        <v>489</v>
      </c>
      <c r="BO129" t="s">
        <v>490</v>
      </c>
      <c r="BP129" t="s">
        <v>490</v>
      </c>
      <c r="BQ129" t="s">
        <v>490</v>
      </c>
      <c r="BR129" t="s">
        <v>489</v>
      </c>
      <c r="BS129" t="s">
        <v>489</v>
      </c>
      <c r="BT129" t="s">
        <v>489</v>
      </c>
      <c r="BU129" t="s">
        <v>490</v>
      </c>
      <c r="BV129" t="s">
        <v>490</v>
      </c>
      <c r="BW129" t="s">
        <v>490</v>
      </c>
      <c r="BX129" t="s">
        <v>489</v>
      </c>
      <c r="BY129" t="s">
        <v>489</v>
      </c>
      <c r="BZ129" t="s">
        <v>489</v>
      </c>
      <c r="CA129" t="s">
        <v>490</v>
      </c>
      <c r="FB129" t="s">
        <v>543</v>
      </c>
      <c r="OH129" s="15">
        <v>0</v>
      </c>
      <c r="OI129" s="15">
        <v>0</v>
      </c>
      <c r="OJ129" s="15">
        <v>0</v>
      </c>
      <c r="OK129" s="15">
        <v>0</v>
      </c>
      <c r="OL129" s="15">
        <v>0</v>
      </c>
      <c r="OM129" s="15">
        <v>0</v>
      </c>
      <c r="ON129" s="15">
        <v>0</v>
      </c>
      <c r="OO129" s="15">
        <v>0</v>
      </c>
      <c r="RJ129" t="s">
        <v>603</v>
      </c>
    </row>
    <row r="130" spans="1:486">
      <c r="A130">
        <v>11803</v>
      </c>
      <c r="B130" t="s">
        <v>503</v>
      </c>
      <c r="C130" t="s">
        <v>972</v>
      </c>
      <c r="D130" t="s">
        <v>498</v>
      </c>
      <c r="E130" t="s">
        <v>500</v>
      </c>
      <c r="F130" t="s">
        <v>505</v>
      </c>
      <c r="G130">
        <v>4</v>
      </c>
      <c r="H130" t="s">
        <v>487</v>
      </c>
      <c r="I130" t="s">
        <v>488</v>
      </c>
      <c r="J130" t="s">
        <v>488</v>
      </c>
      <c r="K130" t="s">
        <v>488</v>
      </c>
      <c r="L130" t="s">
        <v>489</v>
      </c>
      <c r="M130" t="s">
        <v>489</v>
      </c>
      <c r="N130" t="s">
        <v>490</v>
      </c>
      <c r="O130" t="s">
        <v>489</v>
      </c>
      <c r="P130" t="s">
        <v>490</v>
      </c>
      <c r="Q130" t="s">
        <v>489</v>
      </c>
      <c r="R130" t="s">
        <v>490</v>
      </c>
      <c r="S130" t="s">
        <v>490</v>
      </c>
      <c r="T130" t="s">
        <v>489</v>
      </c>
      <c r="U130" t="s">
        <v>490</v>
      </c>
      <c r="V130" t="s">
        <v>490</v>
      </c>
      <c r="W130" t="s">
        <v>489</v>
      </c>
      <c r="X130" t="s">
        <v>490</v>
      </c>
      <c r="Y130" t="s">
        <v>490</v>
      </c>
      <c r="Z130" t="s">
        <v>490</v>
      </c>
      <c r="AA130" t="s">
        <v>490</v>
      </c>
      <c r="AB130" t="s">
        <v>489</v>
      </c>
      <c r="AC130" t="s">
        <v>490</v>
      </c>
      <c r="AD130" t="s">
        <v>490</v>
      </c>
      <c r="AE130" t="s">
        <v>489</v>
      </c>
      <c r="AF130" t="s">
        <v>490</v>
      </c>
      <c r="AG130" t="s">
        <v>490</v>
      </c>
      <c r="AH130" t="s">
        <v>489</v>
      </c>
      <c r="AI130" t="s">
        <v>490</v>
      </c>
      <c r="AJ130" t="s">
        <v>490</v>
      </c>
      <c r="AK130" t="s">
        <v>489</v>
      </c>
      <c r="AL130" t="s">
        <v>490</v>
      </c>
      <c r="AM130" t="s">
        <v>490</v>
      </c>
      <c r="AN130" t="s">
        <v>489</v>
      </c>
      <c r="AO130" t="s">
        <v>490</v>
      </c>
      <c r="AP130" t="s">
        <v>490</v>
      </c>
      <c r="AQ130" t="s">
        <v>489</v>
      </c>
      <c r="AR130" t="s">
        <v>490</v>
      </c>
      <c r="AS130" t="s">
        <v>490</v>
      </c>
      <c r="AT130" t="s">
        <v>489</v>
      </c>
      <c r="AU130" t="s">
        <v>490</v>
      </c>
      <c r="AV130" t="s">
        <v>490</v>
      </c>
      <c r="AW130" t="s">
        <v>489</v>
      </c>
      <c r="AX130" t="s">
        <v>490</v>
      </c>
      <c r="AY130" t="s">
        <v>490</v>
      </c>
      <c r="AZ130" t="s">
        <v>489</v>
      </c>
      <c r="BA130" t="s">
        <v>489</v>
      </c>
      <c r="BB130" t="s">
        <v>490</v>
      </c>
      <c r="BC130" t="s">
        <v>490</v>
      </c>
      <c r="BD130" t="s">
        <v>489</v>
      </c>
      <c r="BE130" t="s">
        <v>490</v>
      </c>
      <c r="BF130" t="s">
        <v>490</v>
      </c>
      <c r="BG130" t="s">
        <v>489</v>
      </c>
      <c r="BH130" t="s">
        <v>490</v>
      </c>
      <c r="BI130" t="s">
        <v>490</v>
      </c>
      <c r="BJ130" t="s">
        <v>490</v>
      </c>
      <c r="BK130" t="s">
        <v>490</v>
      </c>
      <c r="BL130" t="s">
        <v>489</v>
      </c>
      <c r="BM130" t="s">
        <v>490</v>
      </c>
      <c r="BN130" t="s">
        <v>490</v>
      </c>
      <c r="BO130" t="s">
        <v>489</v>
      </c>
      <c r="BP130" t="s">
        <v>490</v>
      </c>
      <c r="BQ130" t="s">
        <v>490</v>
      </c>
      <c r="BR130" t="s">
        <v>489</v>
      </c>
      <c r="BS130" t="s">
        <v>490</v>
      </c>
      <c r="BT130" t="s">
        <v>490</v>
      </c>
      <c r="BU130" t="s">
        <v>489</v>
      </c>
      <c r="FB130" t="s">
        <v>543</v>
      </c>
      <c r="OH130" s="15">
        <v>0</v>
      </c>
      <c r="OI130" s="15">
        <v>0</v>
      </c>
      <c r="OJ130" s="15">
        <v>0</v>
      </c>
      <c r="OK130" s="15">
        <v>0</v>
      </c>
      <c r="OL130" s="15">
        <v>0</v>
      </c>
      <c r="OM130" s="15">
        <v>0</v>
      </c>
      <c r="ON130" s="15">
        <v>0</v>
      </c>
      <c r="OO130" s="15">
        <v>0</v>
      </c>
      <c r="RJ130" t="s">
        <v>605</v>
      </c>
    </row>
    <row r="131" spans="1:486">
      <c r="A131">
        <v>12118</v>
      </c>
      <c r="B131" t="s">
        <v>503</v>
      </c>
      <c r="C131" t="s">
        <v>972</v>
      </c>
      <c r="D131" t="s">
        <v>498</v>
      </c>
      <c r="E131" t="s">
        <v>500</v>
      </c>
      <c r="F131" t="s">
        <v>517</v>
      </c>
      <c r="G131">
        <v>0</v>
      </c>
      <c r="H131" t="s">
        <v>487</v>
      </c>
      <c r="I131" t="s">
        <v>488</v>
      </c>
      <c r="J131" t="s">
        <v>487</v>
      </c>
      <c r="K131" t="s">
        <v>488</v>
      </c>
      <c r="L131" t="s">
        <v>489</v>
      </c>
      <c r="M131" t="s">
        <v>489</v>
      </c>
      <c r="N131" t="s">
        <v>489</v>
      </c>
      <c r="O131" t="s">
        <v>489</v>
      </c>
      <c r="P131" t="s">
        <v>490</v>
      </c>
      <c r="Q131" t="s">
        <v>490</v>
      </c>
      <c r="R131" t="s">
        <v>490</v>
      </c>
      <c r="S131" t="s">
        <v>490</v>
      </c>
      <c r="T131" t="s">
        <v>489</v>
      </c>
      <c r="U131" t="s">
        <v>490</v>
      </c>
      <c r="V131" t="s">
        <v>490</v>
      </c>
      <c r="W131" t="s">
        <v>489</v>
      </c>
      <c r="X131" t="s">
        <v>490</v>
      </c>
      <c r="Y131" t="s">
        <v>490</v>
      </c>
      <c r="Z131" t="s">
        <v>490</v>
      </c>
      <c r="AA131" t="s">
        <v>490</v>
      </c>
      <c r="AB131" t="s">
        <v>489</v>
      </c>
      <c r="AC131" t="s">
        <v>490</v>
      </c>
      <c r="AD131" t="s">
        <v>490</v>
      </c>
      <c r="AE131" t="s">
        <v>489</v>
      </c>
      <c r="AF131" t="s">
        <v>490</v>
      </c>
      <c r="AG131" t="s">
        <v>490</v>
      </c>
      <c r="AH131" t="s">
        <v>489</v>
      </c>
      <c r="AI131" t="s">
        <v>489</v>
      </c>
      <c r="AJ131" t="s">
        <v>490</v>
      </c>
      <c r="AK131" t="s">
        <v>490</v>
      </c>
      <c r="AL131" t="s">
        <v>490</v>
      </c>
      <c r="AM131" t="s">
        <v>490</v>
      </c>
      <c r="AN131" t="s">
        <v>489</v>
      </c>
      <c r="AO131" t="s">
        <v>489</v>
      </c>
      <c r="AP131" t="s">
        <v>490</v>
      </c>
      <c r="AQ131" t="s">
        <v>490</v>
      </c>
      <c r="AR131" t="s">
        <v>490</v>
      </c>
      <c r="AS131" t="s">
        <v>490</v>
      </c>
      <c r="AT131" t="s">
        <v>489</v>
      </c>
      <c r="AU131" t="s">
        <v>489</v>
      </c>
      <c r="AV131" t="s">
        <v>490</v>
      </c>
      <c r="AW131" t="s">
        <v>490</v>
      </c>
      <c r="AX131" t="s">
        <v>490</v>
      </c>
      <c r="AY131" t="s">
        <v>490</v>
      </c>
      <c r="AZ131" t="s">
        <v>489</v>
      </c>
      <c r="BA131" t="s">
        <v>490</v>
      </c>
      <c r="BB131" t="s">
        <v>490</v>
      </c>
      <c r="BC131" t="s">
        <v>489</v>
      </c>
      <c r="BD131" t="s">
        <v>490</v>
      </c>
      <c r="BE131" t="s">
        <v>490</v>
      </c>
      <c r="BF131" t="s">
        <v>489</v>
      </c>
      <c r="BG131" t="s">
        <v>490</v>
      </c>
      <c r="BH131" t="s">
        <v>490</v>
      </c>
      <c r="BI131" t="s">
        <v>489</v>
      </c>
      <c r="BJ131" t="s">
        <v>489</v>
      </c>
      <c r="BK131" t="s">
        <v>490</v>
      </c>
      <c r="BL131" t="s">
        <v>490</v>
      </c>
      <c r="BM131" t="s">
        <v>490</v>
      </c>
      <c r="BN131" t="s">
        <v>490</v>
      </c>
      <c r="BO131" t="s">
        <v>489</v>
      </c>
      <c r="BP131" t="s">
        <v>490</v>
      </c>
      <c r="BQ131" t="s">
        <v>490</v>
      </c>
      <c r="BR131" t="s">
        <v>489</v>
      </c>
      <c r="BS131" t="s">
        <v>490</v>
      </c>
      <c r="BT131" t="s">
        <v>490</v>
      </c>
      <c r="BU131" t="s">
        <v>489</v>
      </c>
      <c r="BV131" t="s">
        <v>490</v>
      </c>
      <c r="BW131" t="s">
        <v>490</v>
      </c>
      <c r="BX131" t="s">
        <v>489</v>
      </c>
      <c r="BY131" t="s">
        <v>489</v>
      </c>
      <c r="BZ131" t="s">
        <v>490</v>
      </c>
      <c r="CA131" t="s">
        <v>490</v>
      </c>
      <c r="CB131" t="s">
        <v>490</v>
      </c>
      <c r="CC131" t="s">
        <v>490</v>
      </c>
      <c r="CD131" t="s">
        <v>489</v>
      </c>
      <c r="CE131" t="s">
        <v>490</v>
      </c>
      <c r="CF131" t="s">
        <v>490</v>
      </c>
      <c r="CG131" t="s">
        <v>489</v>
      </c>
      <c r="CH131" t="s">
        <v>489</v>
      </c>
      <c r="CI131" t="s">
        <v>490</v>
      </c>
      <c r="CJ131" t="s">
        <v>490</v>
      </c>
      <c r="CK131" t="s">
        <v>490</v>
      </c>
      <c r="CL131" t="s">
        <v>490</v>
      </c>
      <c r="CM131" t="s">
        <v>489</v>
      </c>
      <c r="CN131" t="s">
        <v>489</v>
      </c>
      <c r="CO131" t="s">
        <v>490</v>
      </c>
      <c r="CP131" t="s">
        <v>490</v>
      </c>
      <c r="EY131">
        <v>80</v>
      </c>
      <c r="EZ131">
        <v>2</v>
      </c>
      <c r="FA131">
        <v>98</v>
      </c>
      <c r="FB131" t="s">
        <v>543</v>
      </c>
      <c r="OH131" s="15">
        <v>0</v>
      </c>
      <c r="OI131" s="15">
        <v>0</v>
      </c>
      <c r="OJ131" s="15">
        <v>0</v>
      </c>
      <c r="OK131" s="15">
        <v>0</v>
      </c>
      <c r="OL131" s="15">
        <v>0</v>
      </c>
      <c r="OM131" s="15">
        <v>0</v>
      </c>
      <c r="ON131" s="15">
        <v>0</v>
      </c>
      <c r="OO131" s="15">
        <v>0</v>
      </c>
      <c r="RJ131" t="s">
        <v>606</v>
      </c>
      <c r="RR131" t="s">
        <v>607</v>
      </c>
    </row>
    <row r="132" spans="1:486">
      <c r="A132">
        <v>1003460</v>
      </c>
      <c r="B132" t="s">
        <v>503</v>
      </c>
      <c r="C132" t="s">
        <v>972</v>
      </c>
      <c r="D132" t="s">
        <v>498</v>
      </c>
      <c r="E132" t="s">
        <v>500</v>
      </c>
      <c r="F132" t="s">
        <v>517</v>
      </c>
      <c r="G132">
        <v>200</v>
      </c>
      <c r="H132" t="s">
        <v>487</v>
      </c>
      <c r="I132" t="s">
        <v>487</v>
      </c>
      <c r="J132" t="s">
        <v>487</v>
      </c>
      <c r="K132" t="s">
        <v>519</v>
      </c>
      <c r="FB132" t="s">
        <v>543</v>
      </c>
      <c r="OH132" s="15">
        <v>0</v>
      </c>
      <c r="OI132" s="15">
        <v>0</v>
      </c>
      <c r="OJ132" s="15">
        <v>0</v>
      </c>
      <c r="OK132" s="15">
        <v>0</v>
      </c>
      <c r="OL132" s="15">
        <v>0</v>
      </c>
      <c r="OM132" s="15">
        <v>0</v>
      </c>
      <c r="ON132" s="15">
        <v>0</v>
      </c>
      <c r="OO132" s="15">
        <v>0</v>
      </c>
      <c r="RJ132" t="s">
        <v>608</v>
      </c>
    </row>
    <row r="133" spans="1:486">
      <c r="A133">
        <v>11826</v>
      </c>
      <c r="B133" t="s">
        <v>503</v>
      </c>
      <c r="C133" t="s">
        <v>972</v>
      </c>
      <c r="D133" t="s">
        <v>498</v>
      </c>
      <c r="E133" t="s">
        <v>500</v>
      </c>
      <c r="F133" t="s">
        <v>516</v>
      </c>
      <c r="G133">
        <v>0</v>
      </c>
      <c r="H133" t="s">
        <v>488</v>
      </c>
      <c r="FB133" t="s">
        <v>543</v>
      </c>
      <c r="OH133" s="15">
        <v>0</v>
      </c>
      <c r="OI133" s="15">
        <v>0</v>
      </c>
      <c r="OJ133" s="15">
        <v>0</v>
      </c>
      <c r="OK133" s="15">
        <v>0</v>
      </c>
      <c r="OL133" s="15">
        <v>0</v>
      </c>
      <c r="OM133" s="15">
        <v>0</v>
      </c>
      <c r="ON133" s="15">
        <v>0</v>
      </c>
      <c r="OO133" s="15">
        <v>0</v>
      </c>
      <c r="RJ133" t="s">
        <v>609</v>
      </c>
    </row>
    <row r="134" spans="1:486">
      <c r="A134">
        <v>12120</v>
      </c>
      <c r="B134" t="s">
        <v>503</v>
      </c>
      <c r="C134" t="s">
        <v>972</v>
      </c>
      <c r="D134" t="s">
        <v>498</v>
      </c>
      <c r="E134" t="s">
        <v>500</v>
      </c>
      <c r="F134" t="s">
        <v>496</v>
      </c>
      <c r="G134">
        <v>55</v>
      </c>
      <c r="H134" t="s">
        <v>487</v>
      </c>
      <c r="I134" t="s">
        <v>487</v>
      </c>
      <c r="J134" t="s">
        <v>487</v>
      </c>
      <c r="K134" t="s">
        <v>487</v>
      </c>
      <c r="L134" t="s">
        <v>489</v>
      </c>
      <c r="M134" t="s">
        <v>489</v>
      </c>
      <c r="N134" t="s">
        <v>489</v>
      </c>
      <c r="O134" t="s">
        <v>489</v>
      </c>
      <c r="P134" t="s">
        <v>490</v>
      </c>
      <c r="Q134" t="s">
        <v>489</v>
      </c>
      <c r="R134" t="s">
        <v>489</v>
      </c>
      <c r="S134" t="s">
        <v>489</v>
      </c>
      <c r="T134" t="s">
        <v>489</v>
      </c>
      <c r="U134" t="s">
        <v>490</v>
      </c>
      <c r="V134" t="s">
        <v>490</v>
      </c>
      <c r="W134" t="s">
        <v>489</v>
      </c>
      <c r="X134" t="s">
        <v>490</v>
      </c>
      <c r="Y134" t="s">
        <v>490</v>
      </c>
      <c r="Z134" t="s">
        <v>490</v>
      </c>
      <c r="AA134" t="s">
        <v>490</v>
      </c>
      <c r="AB134" t="s">
        <v>489</v>
      </c>
      <c r="AC134" t="s">
        <v>489</v>
      </c>
      <c r="AD134" t="s">
        <v>490</v>
      </c>
      <c r="AE134" t="s">
        <v>490</v>
      </c>
      <c r="AF134" t="s">
        <v>489</v>
      </c>
      <c r="AG134" t="s">
        <v>490</v>
      </c>
      <c r="AH134" t="s">
        <v>490</v>
      </c>
      <c r="AI134" t="s">
        <v>489</v>
      </c>
      <c r="AJ134" t="s">
        <v>490</v>
      </c>
      <c r="AK134" t="s">
        <v>490</v>
      </c>
      <c r="AL134" t="s">
        <v>490</v>
      </c>
      <c r="AM134" t="s">
        <v>490</v>
      </c>
      <c r="AN134" t="s">
        <v>489</v>
      </c>
      <c r="AO134" t="s">
        <v>490</v>
      </c>
      <c r="AP134" t="s">
        <v>490</v>
      </c>
      <c r="AQ134" t="s">
        <v>489</v>
      </c>
      <c r="AR134" t="s">
        <v>489</v>
      </c>
      <c r="AS134" t="s">
        <v>490</v>
      </c>
      <c r="AT134" t="s">
        <v>490</v>
      </c>
      <c r="AU134" t="s">
        <v>489</v>
      </c>
      <c r="AV134" t="s">
        <v>489</v>
      </c>
      <c r="AW134" t="s">
        <v>490</v>
      </c>
      <c r="AX134" t="s">
        <v>489</v>
      </c>
      <c r="AY134" t="s">
        <v>489</v>
      </c>
      <c r="AZ134" t="s">
        <v>490</v>
      </c>
      <c r="BA134" t="s">
        <v>489</v>
      </c>
      <c r="BB134" t="s">
        <v>489</v>
      </c>
      <c r="BC134" t="s">
        <v>490</v>
      </c>
      <c r="BD134" t="s">
        <v>490</v>
      </c>
      <c r="BE134" t="s">
        <v>490</v>
      </c>
      <c r="BF134" t="s">
        <v>489</v>
      </c>
      <c r="BG134" t="s">
        <v>489</v>
      </c>
      <c r="BH134" t="s">
        <v>489</v>
      </c>
      <c r="BI134" t="s">
        <v>490</v>
      </c>
      <c r="BJ134" t="s">
        <v>489</v>
      </c>
      <c r="BK134" t="s">
        <v>489</v>
      </c>
      <c r="BL134" t="s">
        <v>490</v>
      </c>
      <c r="BM134" t="s">
        <v>489</v>
      </c>
      <c r="BN134" t="s">
        <v>489</v>
      </c>
      <c r="BO134" t="s">
        <v>490</v>
      </c>
      <c r="BP134" t="s">
        <v>489</v>
      </c>
      <c r="BQ134" t="s">
        <v>490</v>
      </c>
      <c r="BR134" t="s">
        <v>490</v>
      </c>
      <c r="BS134" t="s">
        <v>490</v>
      </c>
      <c r="BT134" t="s">
        <v>490</v>
      </c>
      <c r="BU134" t="s">
        <v>489</v>
      </c>
      <c r="BV134" t="s">
        <v>490</v>
      </c>
      <c r="BW134" t="s">
        <v>490</v>
      </c>
      <c r="BX134" t="s">
        <v>489</v>
      </c>
      <c r="BY134" t="s">
        <v>490</v>
      </c>
      <c r="BZ134" t="s">
        <v>490</v>
      </c>
      <c r="CA134" t="s">
        <v>489</v>
      </c>
      <c r="CB134" t="s">
        <v>489</v>
      </c>
      <c r="CC134" t="s">
        <v>489</v>
      </c>
      <c r="CD134" t="s">
        <v>490</v>
      </c>
      <c r="CE134" t="s">
        <v>490</v>
      </c>
      <c r="CF134" t="s">
        <v>490</v>
      </c>
      <c r="CG134" t="s">
        <v>489</v>
      </c>
      <c r="CH134" t="s">
        <v>489</v>
      </c>
      <c r="CI134" t="s">
        <v>489</v>
      </c>
      <c r="CJ134" t="s">
        <v>490</v>
      </c>
      <c r="CK134" t="s">
        <v>489</v>
      </c>
      <c r="CL134" t="s">
        <v>489</v>
      </c>
      <c r="CM134" t="s">
        <v>490</v>
      </c>
      <c r="CN134" t="s">
        <v>489</v>
      </c>
      <c r="CO134" t="s">
        <v>489</v>
      </c>
      <c r="CP134" t="s">
        <v>490</v>
      </c>
      <c r="CW134" t="s">
        <v>490</v>
      </c>
      <c r="CX134" t="s">
        <v>490</v>
      </c>
      <c r="CY134" t="s">
        <v>489</v>
      </c>
      <c r="CZ134" t="s">
        <v>490</v>
      </c>
      <c r="DA134" t="s">
        <v>490</v>
      </c>
      <c r="DB134" t="s">
        <v>489</v>
      </c>
      <c r="DC134" t="s">
        <v>490</v>
      </c>
      <c r="DD134" t="s">
        <v>490</v>
      </c>
      <c r="DE134" t="s">
        <v>489</v>
      </c>
      <c r="DF134" t="s">
        <v>490</v>
      </c>
      <c r="DG134" t="s">
        <v>490</v>
      </c>
      <c r="DH134" t="s">
        <v>489</v>
      </c>
      <c r="DI134" t="s">
        <v>489</v>
      </c>
      <c r="DJ134" t="s">
        <v>490</v>
      </c>
      <c r="DK134" t="s">
        <v>490</v>
      </c>
      <c r="DL134" t="s">
        <v>489</v>
      </c>
      <c r="DM134" t="s">
        <v>489</v>
      </c>
      <c r="DN134" t="s">
        <v>490</v>
      </c>
      <c r="DO134" t="s">
        <v>490</v>
      </c>
      <c r="DP134" t="s">
        <v>490</v>
      </c>
      <c r="DQ134" t="s">
        <v>489</v>
      </c>
      <c r="DR134" t="s">
        <v>490</v>
      </c>
      <c r="DS134" t="s">
        <v>490</v>
      </c>
      <c r="DT134" t="s">
        <v>489</v>
      </c>
      <c r="DU134" t="s">
        <v>489</v>
      </c>
      <c r="DV134" t="s">
        <v>490</v>
      </c>
      <c r="DW134" t="s">
        <v>490</v>
      </c>
      <c r="DX134" t="s">
        <v>490</v>
      </c>
      <c r="DY134" t="s">
        <v>490</v>
      </c>
      <c r="DZ134" t="s">
        <v>489</v>
      </c>
      <c r="EA134" t="s">
        <v>490</v>
      </c>
      <c r="EB134" t="s">
        <v>489</v>
      </c>
      <c r="EC134" t="s">
        <v>490</v>
      </c>
      <c r="ED134" t="s">
        <v>490</v>
      </c>
      <c r="EE134" t="s">
        <v>489</v>
      </c>
      <c r="EF134" t="s">
        <v>490</v>
      </c>
      <c r="EG134" t="s">
        <v>490</v>
      </c>
      <c r="EH134" t="s">
        <v>490</v>
      </c>
      <c r="EI134" t="s">
        <v>489</v>
      </c>
      <c r="EJ134" t="s">
        <v>490</v>
      </c>
      <c r="EK134" t="s">
        <v>490</v>
      </c>
      <c r="EL134" t="s">
        <v>489</v>
      </c>
      <c r="EM134" t="s">
        <v>490</v>
      </c>
      <c r="EN134" t="s">
        <v>490</v>
      </c>
      <c r="EO134" t="s">
        <v>489</v>
      </c>
      <c r="EP134" t="s">
        <v>490</v>
      </c>
      <c r="EQ134" t="s">
        <v>490</v>
      </c>
      <c r="ER134" t="s">
        <v>489</v>
      </c>
      <c r="ES134" t="s">
        <v>490</v>
      </c>
      <c r="ET134" t="s">
        <v>489</v>
      </c>
      <c r="EU134" t="s">
        <v>490</v>
      </c>
      <c r="EV134" t="s">
        <v>490</v>
      </c>
      <c r="EW134" t="s">
        <v>489</v>
      </c>
      <c r="EX134" t="s">
        <v>490</v>
      </c>
      <c r="EY134">
        <v>95</v>
      </c>
      <c r="EZ134">
        <v>60</v>
      </c>
      <c r="FA134">
        <v>40</v>
      </c>
      <c r="FB134" t="s">
        <v>543</v>
      </c>
      <c r="OH134" s="15">
        <v>7</v>
      </c>
      <c r="OI134" s="15">
        <v>5</v>
      </c>
      <c r="OJ134" s="15">
        <v>6</v>
      </c>
      <c r="OK134" s="15">
        <v>4</v>
      </c>
      <c r="OL134" s="15">
        <v>7</v>
      </c>
      <c r="OM134" s="15">
        <v>8</v>
      </c>
      <c r="ON134" s="15">
        <v>7</v>
      </c>
      <c r="OO134" s="15">
        <v>5</v>
      </c>
      <c r="OQ134" t="s">
        <v>488</v>
      </c>
      <c r="OR134" t="s">
        <v>488</v>
      </c>
      <c r="OY134">
        <v>90</v>
      </c>
      <c r="OZ134">
        <v>60</v>
      </c>
      <c r="PA134">
        <v>0</v>
      </c>
      <c r="PB134">
        <v>40</v>
      </c>
      <c r="PC134">
        <v>0</v>
      </c>
      <c r="PD134">
        <v>0</v>
      </c>
      <c r="PE134">
        <v>0</v>
      </c>
      <c r="PF134">
        <v>0</v>
      </c>
      <c r="PG134">
        <v>0</v>
      </c>
      <c r="PH134">
        <v>0</v>
      </c>
      <c r="PI134">
        <v>95</v>
      </c>
      <c r="PJ134">
        <v>65</v>
      </c>
      <c r="PK134">
        <v>40</v>
      </c>
      <c r="PL134">
        <v>40</v>
      </c>
      <c r="PM134">
        <v>0</v>
      </c>
      <c r="PN134">
        <v>0</v>
      </c>
      <c r="PO134">
        <v>0</v>
      </c>
      <c r="PP134">
        <v>50</v>
      </c>
      <c r="PQ134">
        <v>0</v>
      </c>
      <c r="PR134">
        <v>0</v>
      </c>
      <c r="PT134" t="s">
        <v>488</v>
      </c>
      <c r="PU134" t="s">
        <v>497</v>
      </c>
      <c r="PV134">
        <v>0</v>
      </c>
      <c r="PW134">
        <v>0</v>
      </c>
      <c r="PX134">
        <v>0</v>
      </c>
      <c r="PY134" t="s">
        <v>493</v>
      </c>
      <c r="PZ134" t="s">
        <v>493</v>
      </c>
      <c r="QA134">
        <v>80</v>
      </c>
      <c r="QB134">
        <v>20</v>
      </c>
      <c r="QC134">
        <v>80</v>
      </c>
      <c r="QD134">
        <v>20</v>
      </c>
      <c r="QE134" t="s">
        <v>494</v>
      </c>
      <c r="QF134">
        <v>3</v>
      </c>
      <c r="QG134">
        <v>5</v>
      </c>
      <c r="QH134">
        <v>0</v>
      </c>
      <c r="QI134">
        <v>0</v>
      </c>
      <c r="QJ134">
        <v>40</v>
      </c>
      <c r="QK134">
        <v>2</v>
      </c>
      <c r="QL134">
        <v>40</v>
      </c>
      <c r="QM134">
        <v>10</v>
      </c>
      <c r="QN134">
        <v>0</v>
      </c>
      <c r="QP134">
        <v>10</v>
      </c>
      <c r="QQ134">
        <v>5</v>
      </c>
      <c r="QR134">
        <v>3</v>
      </c>
      <c r="QS134">
        <v>3</v>
      </c>
      <c r="QT134">
        <v>10</v>
      </c>
      <c r="QU134">
        <v>30</v>
      </c>
      <c r="QV134">
        <v>5</v>
      </c>
      <c r="QW134">
        <v>34</v>
      </c>
      <c r="QX134">
        <v>0</v>
      </c>
      <c r="QZ134">
        <v>6</v>
      </c>
      <c r="RA134">
        <v>3</v>
      </c>
      <c r="RB134" t="s">
        <v>489</v>
      </c>
      <c r="RC134" t="s">
        <v>490</v>
      </c>
      <c r="RD134" t="s">
        <v>489</v>
      </c>
      <c r="RE134" t="s">
        <v>490</v>
      </c>
      <c r="RF134" t="s">
        <v>490</v>
      </c>
      <c r="RG134" t="s">
        <v>490</v>
      </c>
      <c r="RH134" t="s">
        <v>490</v>
      </c>
      <c r="RI134" t="s">
        <v>490</v>
      </c>
      <c r="RJ134" t="s">
        <v>612</v>
      </c>
      <c r="RQ134" t="s">
        <v>613</v>
      </c>
    </row>
    <row r="135" spans="1:486">
      <c r="A135">
        <v>12161</v>
      </c>
      <c r="B135" t="s">
        <v>503</v>
      </c>
      <c r="C135" t="s">
        <v>972</v>
      </c>
      <c r="D135" t="s">
        <v>498</v>
      </c>
      <c r="E135" t="s">
        <v>500</v>
      </c>
      <c r="F135" t="s">
        <v>505</v>
      </c>
      <c r="G135">
        <v>6</v>
      </c>
      <c r="H135" t="s">
        <v>487</v>
      </c>
      <c r="I135" t="s">
        <v>487</v>
      </c>
      <c r="J135" t="s">
        <v>488</v>
      </c>
      <c r="K135" t="s">
        <v>487</v>
      </c>
      <c r="L135" t="s">
        <v>490</v>
      </c>
      <c r="M135" t="s">
        <v>489</v>
      </c>
      <c r="N135" t="s">
        <v>489</v>
      </c>
      <c r="O135" t="s">
        <v>489</v>
      </c>
      <c r="P135" t="s">
        <v>490</v>
      </c>
      <c r="Q135" t="s">
        <v>490</v>
      </c>
      <c r="R135" t="s">
        <v>489</v>
      </c>
      <c r="S135" t="s">
        <v>489</v>
      </c>
      <c r="AX135" t="s">
        <v>489</v>
      </c>
      <c r="AY135" t="s">
        <v>490</v>
      </c>
      <c r="AZ135" t="s">
        <v>490</v>
      </c>
      <c r="BA135" t="s">
        <v>489</v>
      </c>
      <c r="BB135" t="s">
        <v>489</v>
      </c>
      <c r="BC135" t="s">
        <v>490</v>
      </c>
      <c r="BD135" t="s">
        <v>489</v>
      </c>
      <c r="BE135" t="s">
        <v>490</v>
      </c>
      <c r="BF135" t="s">
        <v>490</v>
      </c>
      <c r="BG135" t="s">
        <v>489</v>
      </c>
      <c r="BH135" t="s">
        <v>489</v>
      </c>
      <c r="BI135" t="s">
        <v>490</v>
      </c>
      <c r="BJ135" t="s">
        <v>489</v>
      </c>
      <c r="BK135" t="s">
        <v>489</v>
      </c>
      <c r="BL135" t="s">
        <v>490</v>
      </c>
      <c r="BM135" t="s">
        <v>489</v>
      </c>
      <c r="BN135" t="s">
        <v>489</v>
      </c>
      <c r="BO135" t="s">
        <v>490</v>
      </c>
      <c r="BP135" t="s">
        <v>490</v>
      </c>
      <c r="BQ135" t="s">
        <v>490</v>
      </c>
      <c r="BR135" t="s">
        <v>489</v>
      </c>
      <c r="BS135" t="s">
        <v>489</v>
      </c>
      <c r="BT135" t="s">
        <v>489</v>
      </c>
      <c r="BU135" t="s">
        <v>490</v>
      </c>
      <c r="BV135" t="s">
        <v>490</v>
      </c>
      <c r="BW135" t="s">
        <v>490</v>
      </c>
      <c r="BX135" t="s">
        <v>489</v>
      </c>
      <c r="BY135" t="s">
        <v>489</v>
      </c>
      <c r="BZ135" t="s">
        <v>490</v>
      </c>
      <c r="CA135" t="s">
        <v>490</v>
      </c>
      <c r="CB135" t="s">
        <v>489</v>
      </c>
      <c r="CC135" t="s">
        <v>489</v>
      </c>
      <c r="CD135" t="s">
        <v>490</v>
      </c>
      <c r="CE135" t="s">
        <v>490</v>
      </c>
      <c r="CF135" t="s">
        <v>490</v>
      </c>
      <c r="CG135" t="s">
        <v>489</v>
      </c>
      <c r="CH135" t="s">
        <v>489</v>
      </c>
      <c r="CI135" t="s">
        <v>489</v>
      </c>
      <c r="CJ135" t="s">
        <v>490</v>
      </c>
      <c r="CK135" t="s">
        <v>489</v>
      </c>
      <c r="CL135" t="s">
        <v>489</v>
      </c>
      <c r="CM135" t="s">
        <v>490</v>
      </c>
      <c r="CN135" t="s">
        <v>490</v>
      </c>
      <c r="CO135" t="s">
        <v>490</v>
      </c>
      <c r="CP135" t="s">
        <v>489</v>
      </c>
      <c r="DI135" t="s">
        <v>489</v>
      </c>
      <c r="DJ135" t="s">
        <v>490</v>
      </c>
      <c r="DK135" t="s">
        <v>490</v>
      </c>
      <c r="DL135" t="s">
        <v>489</v>
      </c>
      <c r="DM135" t="s">
        <v>490</v>
      </c>
      <c r="DN135" t="s">
        <v>490</v>
      </c>
      <c r="DO135" t="s">
        <v>490</v>
      </c>
      <c r="DP135" t="s">
        <v>490</v>
      </c>
      <c r="DQ135" t="s">
        <v>489</v>
      </c>
      <c r="DR135" t="s">
        <v>489</v>
      </c>
      <c r="DS135" t="s">
        <v>490</v>
      </c>
      <c r="DT135" t="s">
        <v>490</v>
      </c>
      <c r="DU135" t="s">
        <v>489</v>
      </c>
      <c r="DV135" t="s">
        <v>490</v>
      </c>
      <c r="DW135" t="s">
        <v>490</v>
      </c>
      <c r="DX135" t="s">
        <v>490</v>
      </c>
      <c r="DY135" t="s">
        <v>490</v>
      </c>
      <c r="DZ135" t="s">
        <v>489</v>
      </c>
      <c r="EA135" t="s">
        <v>490</v>
      </c>
      <c r="EB135" t="s">
        <v>489</v>
      </c>
      <c r="EC135" t="s">
        <v>490</v>
      </c>
      <c r="ED135" t="s">
        <v>490</v>
      </c>
      <c r="EE135" t="s">
        <v>490</v>
      </c>
      <c r="EF135" t="s">
        <v>489</v>
      </c>
      <c r="EG135" t="s">
        <v>490</v>
      </c>
      <c r="EH135" t="s">
        <v>490</v>
      </c>
      <c r="EI135" t="s">
        <v>489</v>
      </c>
      <c r="EJ135" t="s">
        <v>490</v>
      </c>
      <c r="EK135" t="s">
        <v>490</v>
      </c>
      <c r="EL135" t="s">
        <v>489</v>
      </c>
      <c r="EM135" t="s">
        <v>490</v>
      </c>
      <c r="EN135" t="s">
        <v>490</v>
      </c>
      <c r="EO135" t="s">
        <v>489</v>
      </c>
      <c r="EP135" t="s">
        <v>490</v>
      </c>
      <c r="EQ135" t="s">
        <v>490</v>
      </c>
      <c r="ER135" t="s">
        <v>489</v>
      </c>
      <c r="ES135" t="s">
        <v>490</v>
      </c>
      <c r="ET135" t="s">
        <v>490</v>
      </c>
      <c r="EU135" t="s">
        <v>489</v>
      </c>
      <c r="EV135" t="s">
        <v>490</v>
      </c>
      <c r="EW135" t="s">
        <v>490</v>
      </c>
      <c r="EX135" t="s">
        <v>489</v>
      </c>
      <c r="EY135">
        <v>60</v>
      </c>
      <c r="EZ135">
        <v>15</v>
      </c>
      <c r="FA135">
        <v>60</v>
      </c>
      <c r="FB135" t="s">
        <v>543</v>
      </c>
      <c r="OH135" s="15">
        <v>8</v>
      </c>
      <c r="OI135" s="15">
        <v>7</v>
      </c>
      <c r="OJ135" s="15">
        <v>2</v>
      </c>
      <c r="OK135" s="15">
        <v>2</v>
      </c>
      <c r="OL135" s="15">
        <v>2</v>
      </c>
      <c r="OM135" s="15">
        <v>9</v>
      </c>
      <c r="ON135" s="15">
        <v>1</v>
      </c>
      <c r="OO135" s="15">
        <v>10</v>
      </c>
      <c r="OQ135" t="s">
        <v>488</v>
      </c>
      <c r="OR135" t="s">
        <v>488</v>
      </c>
      <c r="OY135">
        <v>100</v>
      </c>
      <c r="OZ135">
        <v>50</v>
      </c>
      <c r="PA135">
        <v>0</v>
      </c>
      <c r="PB135">
        <v>0</v>
      </c>
      <c r="PC135">
        <v>0</v>
      </c>
      <c r="PD135">
        <v>0</v>
      </c>
      <c r="PE135">
        <v>0</v>
      </c>
      <c r="PF135">
        <v>0</v>
      </c>
      <c r="PG135">
        <v>0</v>
      </c>
      <c r="PH135">
        <v>0</v>
      </c>
      <c r="PI135">
        <v>100</v>
      </c>
      <c r="PJ135">
        <v>10</v>
      </c>
      <c r="PK135">
        <v>0</v>
      </c>
      <c r="PL135">
        <v>0</v>
      </c>
      <c r="PM135">
        <v>0</v>
      </c>
      <c r="PN135">
        <v>0</v>
      </c>
      <c r="PO135">
        <v>0</v>
      </c>
      <c r="PP135">
        <v>0</v>
      </c>
      <c r="PQ135">
        <v>0</v>
      </c>
      <c r="PR135">
        <v>0</v>
      </c>
      <c r="PT135" t="s">
        <v>488</v>
      </c>
      <c r="PU135" t="s">
        <v>497</v>
      </c>
      <c r="PV135">
        <v>10000</v>
      </c>
      <c r="PW135">
        <v>0</v>
      </c>
      <c r="PX135">
        <v>10000</v>
      </c>
      <c r="PY135" t="s">
        <v>493</v>
      </c>
      <c r="PZ135" t="s">
        <v>493</v>
      </c>
      <c r="QA135">
        <v>80</v>
      </c>
      <c r="QB135">
        <v>20</v>
      </c>
      <c r="QC135">
        <v>30</v>
      </c>
      <c r="QD135">
        <v>70</v>
      </c>
      <c r="QE135" t="s">
        <v>508</v>
      </c>
      <c r="QZ135">
        <v>0.2</v>
      </c>
      <c r="RA135">
        <v>0.2</v>
      </c>
      <c r="RB135" t="s">
        <v>489</v>
      </c>
      <c r="RC135" t="s">
        <v>490</v>
      </c>
      <c r="RD135" t="s">
        <v>490</v>
      </c>
      <c r="RE135" t="s">
        <v>490</v>
      </c>
      <c r="RF135" t="s">
        <v>490</v>
      </c>
      <c r="RG135" t="s">
        <v>490</v>
      </c>
      <c r="RH135" t="s">
        <v>490</v>
      </c>
      <c r="RI135" t="s">
        <v>490</v>
      </c>
      <c r="RJ135" t="s">
        <v>618</v>
      </c>
      <c r="RL135" t="s">
        <v>619</v>
      </c>
    </row>
    <row r="136" spans="1:486">
      <c r="A136">
        <v>11890</v>
      </c>
      <c r="B136" t="s">
        <v>503</v>
      </c>
      <c r="C136" t="s">
        <v>972</v>
      </c>
      <c r="D136" t="s">
        <v>498</v>
      </c>
      <c r="E136" t="s">
        <v>500</v>
      </c>
      <c r="F136" t="s">
        <v>509</v>
      </c>
      <c r="G136">
        <v>3</v>
      </c>
      <c r="H136" t="s">
        <v>487</v>
      </c>
      <c r="I136" t="s">
        <v>487</v>
      </c>
      <c r="J136" t="s">
        <v>488</v>
      </c>
      <c r="K136" t="s">
        <v>488</v>
      </c>
      <c r="L136" t="s">
        <v>489</v>
      </c>
      <c r="M136" t="s">
        <v>489</v>
      </c>
      <c r="N136" t="s">
        <v>490</v>
      </c>
      <c r="O136" t="s">
        <v>489</v>
      </c>
      <c r="P136" t="s">
        <v>490</v>
      </c>
      <c r="Q136" t="s">
        <v>490</v>
      </c>
      <c r="R136" t="s">
        <v>490</v>
      </c>
      <c r="S136" t="s">
        <v>490</v>
      </c>
      <c r="T136" t="s">
        <v>489</v>
      </c>
      <c r="U136" t="s">
        <v>490</v>
      </c>
      <c r="V136" t="s">
        <v>490</v>
      </c>
      <c r="W136" t="s">
        <v>489</v>
      </c>
      <c r="X136" t="s">
        <v>490</v>
      </c>
      <c r="Y136" t="s">
        <v>490</v>
      </c>
      <c r="Z136" t="s">
        <v>490</v>
      </c>
      <c r="AA136" t="s">
        <v>490</v>
      </c>
      <c r="AB136" t="s">
        <v>489</v>
      </c>
      <c r="AC136" t="s">
        <v>490</v>
      </c>
      <c r="AD136" t="s">
        <v>490</v>
      </c>
      <c r="AE136" t="s">
        <v>489</v>
      </c>
      <c r="AF136" t="s">
        <v>490</v>
      </c>
      <c r="AG136" t="s">
        <v>490</v>
      </c>
      <c r="AH136" t="s">
        <v>489</v>
      </c>
      <c r="AI136" t="s">
        <v>490</v>
      </c>
      <c r="AJ136" t="s">
        <v>490</v>
      </c>
      <c r="AK136" t="s">
        <v>489</v>
      </c>
      <c r="AL136" t="s">
        <v>489</v>
      </c>
      <c r="AM136" t="s">
        <v>490</v>
      </c>
      <c r="AN136" t="s">
        <v>490</v>
      </c>
      <c r="AO136" t="s">
        <v>489</v>
      </c>
      <c r="AP136" t="s">
        <v>490</v>
      </c>
      <c r="AQ136" t="s">
        <v>490</v>
      </c>
      <c r="AR136" t="s">
        <v>490</v>
      </c>
      <c r="AS136" t="s">
        <v>490</v>
      </c>
      <c r="AT136" t="s">
        <v>489</v>
      </c>
      <c r="AU136" t="s">
        <v>490</v>
      </c>
      <c r="AV136" t="s">
        <v>490</v>
      </c>
      <c r="AW136" t="s">
        <v>489</v>
      </c>
      <c r="AX136" t="s">
        <v>489</v>
      </c>
      <c r="AY136" t="s">
        <v>490</v>
      </c>
      <c r="AZ136" t="s">
        <v>490</v>
      </c>
      <c r="BA136" t="s">
        <v>489</v>
      </c>
      <c r="BB136" t="s">
        <v>490</v>
      </c>
      <c r="BC136" t="s">
        <v>490</v>
      </c>
      <c r="BD136" t="s">
        <v>490</v>
      </c>
      <c r="BE136" t="s">
        <v>490</v>
      </c>
      <c r="BF136" t="s">
        <v>489</v>
      </c>
      <c r="BG136" t="s">
        <v>489</v>
      </c>
      <c r="BH136" t="s">
        <v>490</v>
      </c>
      <c r="BI136" t="s">
        <v>490</v>
      </c>
      <c r="BJ136" t="s">
        <v>489</v>
      </c>
      <c r="BK136" t="s">
        <v>490</v>
      </c>
      <c r="BL136" t="s">
        <v>490</v>
      </c>
      <c r="BM136" t="s">
        <v>490</v>
      </c>
      <c r="BN136" t="s">
        <v>490</v>
      </c>
      <c r="BO136" t="s">
        <v>489</v>
      </c>
      <c r="BP136" t="s">
        <v>490</v>
      </c>
      <c r="BQ136" t="s">
        <v>490</v>
      </c>
      <c r="BR136" t="s">
        <v>489</v>
      </c>
      <c r="BS136" t="s">
        <v>490</v>
      </c>
      <c r="BT136" t="s">
        <v>490</v>
      </c>
      <c r="BU136" t="s">
        <v>489</v>
      </c>
      <c r="CB136" t="s">
        <v>489</v>
      </c>
      <c r="CC136" t="s">
        <v>490</v>
      </c>
      <c r="CD136" t="s">
        <v>490</v>
      </c>
      <c r="CE136" t="s">
        <v>489</v>
      </c>
      <c r="CF136" t="s">
        <v>490</v>
      </c>
      <c r="CG136" t="s">
        <v>490</v>
      </c>
      <c r="CH136" t="s">
        <v>489</v>
      </c>
      <c r="CI136" t="s">
        <v>490</v>
      </c>
      <c r="CJ136" t="s">
        <v>490</v>
      </c>
      <c r="CK136" t="s">
        <v>489</v>
      </c>
      <c r="CL136" t="s">
        <v>490</v>
      </c>
      <c r="CM136" t="s">
        <v>490</v>
      </c>
      <c r="CN136" t="s">
        <v>489</v>
      </c>
      <c r="CO136" t="s">
        <v>490</v>
      </c>
      <c r="CP136" t="s">
        <v>490</v>
      </c>
      <c r="EY136">
        <v>75</v>
      </c>
      <c r="EZ136">
        <v>25</v>
      </c>
      <c r="FA136">
        <v>75</v>
      </c>
      <c r="FB136" t="s">
        <v>543</v>
      </c>
      <c r="OH136" s="15">
        <v>8</v>
      </c>
      <c r="OI136" s="15">
        <v>1</v>
      </c>
      <c r="OJ136" s="15">
        <v>1</v>
      </c>
      <c r="OK136" s="15">
        <v>1</v>
      </c>
      <c r="OL136" s="15">
        <v>8</v>
      </c>
      <c r="OM136" s="15">
        <v>8</v>
      </c>
      <c r="ON136" s="15">
        <v>1</v>
      </c>
      <c r="OO136" s="15">
        <v>1</v>
      </c>
      <c r="OQ136" t="s">
        <v>488</v>
      </c>
      <c r="OR136" t="s">
        <v>488</v>
      </c>
      <c r="OY136">
        <v>2</v>
      </c>
      <c r="OZ136">
        <v>2</v>
      </c>
      <c r="PA136">
        <v>0</v>
      </c>
      <c r="PB136">
        <v>0</v>
      </c>
      <c r="PC136">
        <v>0</v>
      </c>
      <c r="PD136">
        <v>1</v>
      </c>
      <c r="PE136">
        <v>1</v>
      </c>
      <c r="PF136">
        <v>0</v>
      </c>
      <c r="PG136">
        <v>0</v>
      </c>
      <c r="PH136">
        <v>0</v>
      </c>
      <c r="PI136">
        <v>10</v>
      </c>
      <c r="PJ136">
        <v>10</v>
      </c>
      <c r="PK136">
        <v>0</v>
      </c>
      <c r="PL136">
        <v>0</v>
      </c>
      <c r="PM136">
        <v>0</v>
      </c>
      <c r="PN136">
        <v>2</v>
      </c>
      <c r="PO136">
        <v>5</v>
      </c>
      <c r="PP136">
        <v>0</v>
      </c>
      <c r="PQ136">
        <v>0</v>
      </c>
      <c r="PR136">
        <v>0</v>
      </c>
      <c r="PT136" t="s">
        <v>488</v>
      </c>
      <c r="PU136" t="s">
        <v>519</v>
      </c>
      <c r="PV136">
        <v>0</v>
      </c>
      <c r="PW136">
        <v>0</v>
      </c>
      <c r="PX136">
        <v>0</v>
      </c>
      <c r="PY136" t="s">
        <v>493</v>
      </c>
      <c r="PZ136" t="s">
        <v>493</v>
      </c>
      <c r="QA136">
        <v>100</v>
      </c>
      <c r="QB136">
        <v>0</v>
      </c>
      <c r="QC136">
        <v>100</v>
      </c>
      <c r="QD136">
        <v>0</v>
      </c>
      <c r="QE136" t="s">
        <v>508</v>
      </c>
      <c r="QZ136">
        <v>0.3</v>
      </c>
      <c r="RA136">
        <v>2</v>
      </c>
      <c r="RB136" t="s">
        <v>489</v>
      </c>
      <c r="RC136" t="s">
        <v>490</v>
      </c>
      <c r="RD136" t="s">
        <v>490</v>
      </c>
      <c r="RE136" t="s">
        <v>490</v>
      </c>
      <c r="RF136" t="s">
        <v>490</v>
      </c>
      <c r="RG136" t="s">
        <v>490</v>
      </c>
      <c r="RH136" t="s">
        <v>490</v>
      </c>
      <c r="RI136" t="s">
        <v>490</v>
      </c>
      <c r="RJ136" t="s">
        <v>625</v>
      </c>
    </row>
    <row r="137" spans="1:486">
      <c r="A137">
        <v>12123</v>
      </c>
      <c r="B137" t="s">
        <v>503</v>
      </c>
      <c r="C137" t="s">
        <v>972</v>
      </c>
      <c r="D137" t="s">
        <v>498</v>
      </c>
      <c r="E137" t="s">
        <v>500</v>
      </c>
      <c r="F137" t="s">
        <v>516</v>
      </c>
      <c r="G137">
        <v>0</v>
      </c>
      <c r="H137" t="s">
        <v>487</v>
      </c>
      <c r="I137" t="s">
        <v>487</v>
      </c>
      <c r="J137" t="s">
        <v>519</v>
      </c>
      <c r="K137" t="s">
        <v>488</v>
      </c>
      <c r="L137" t="s">
        <v>489</v>
      </c>
      <c r="M137" t="s">
        <v>489</v>
      </c>
      <c r="N137" t="s">
        <v>489</v>
      </c>
      <c r="O137" t="s">
        <v>490</v>
      </c>
      <c r="P137" t="s">
        <v>490</v>
      </c>
      <c r="Q137" t="s">
        <v>490</v>
      </c>
      <c r="R137" t="s">
        <v>489</v>
      </c>
      <c r="S137" t="s">
        <v>490</v>
      </c>
      <c r="T137" t="s">
        <v>489</v>
      </c>
      <c r="U137" t="s">
        <v>490</v>
      </c>
      <c r="V137" t="s">
        <v>490</v>
      </c>
      <c r="W137" t="s">
        <v>489</v>
      </c>
      <c r="X137" t="s">
        <v>490</v>
      </c>
      <c r="Y137" t="s">
        <v>490</v>
      </c>
      <c r="Z137" t="s">
        <v>490</v>
      </c>
      <c r="AA137" t="s">
        <v>490</v>
      </c>
      <c r="AB137" t="s">
        <v>489</v>
      </c>
      <c r="AC137" t="s">
        <v>489</v>
      </c>
      <c r="AD137" t="s">
        <v>490</v>
      </c>
      <c r="AE137" t="s">
        <v>490</v>
      </c>
      <c r="AF137" t="s">
        <v>490</v>
      </c>
      <c r="AG137" t="s">
        <v>490</v>
      </c>
      <c r="AH137" t="s">
        <v>489</v>
      </c>
      <c r="AI137" t="s">
        <v>489</v>
      </c>
      <c r="AJ137" t="s">
        <v>490</v>
      </c>
      <c r="AK137" t="s">
        <v>490</v>
      </c>
      <c r="AL137" t="s">
        <v>490</v>
      </c>
      <c r="AM137" t="s">
        <v>490</v>
      </c>
      <c r="AN137" t="s">
        <v>489</v>
      </c>
      <c r="AO137" t="s">
        <v>489</v>
      </c>
      <c r="AP137" t="s">
        <v>490</v>
      </c>
      <c r="AQ137" t="s">
        <v>490</v>
      </c>
      <c r="AR137" t="s">
        <v>489</v>
      </c>
      <c r="AS137" t="s">
        <v>490</v>
      </c>
      <c r="AT137" t="s">
        <v>490</v>
      </c>
      <c r="AU137" t="s">
        <v>489</v>
      </c>
      <c r="AV137" t="s">
        <v>490</v>
      </c>
      <c r="AW137" t="s">
        <v>490</v>
      </c>
      <c r="AX137" t="s">
        <v>489</v>
      </c>
      <c r="AY137" t="s">
        <v>490</v>
      </c>
      <c r="AZ137" t="s">
        <v>490</v>
      </c>
      <c r="BA137" t="s">
        <v>489</v>
      </c>
      <c r="BB137" t="s">
        <v>490</v>
      </c>
      <c r="BC137" t="s">
        <v>490</v>
      </c>
      <c r="BD137" t="s">
        <v>489</v>
      </c>
      <c r="BE137" t="s">
        <v>490</v>
      </c>
      <c r="BF137" t="s">
        <v>490</v>
      </c>
      <c r="BG137" t="s">
        <v>489</v>
      </c>
      <c r="BH137" t="s">
        <v>490</v>
      </c>
      <c r="BI137" t="s">
        <v>490</v>
      </c>
      <c r="BJ137" t="s">
        <v>489</v>
      </c>
      <c r="BK137" t="s">
        <v>490</v>
      </c>
      <c r="BL137" t="s">
        <v>490</v>
      </c>
      <c r="BM137" t="s">
        <v>489</v>
      </c>
      <c r="BN137" t="s">
        <v>490</v>
      </c>
      <c r="BO137" t="s">
        <v>490</v>
      </c>
      <c r="BP137" t="s">
        <v>490</v>
      </c>
      <c r="BQ137" t="s">
        <v>490</v>
      </c>
      <c r="BR137" t="s">
        <v>489</v>
      </c>
      <c r="BS137" t="s">
        <v>489</v>
      </c>
      <c r="BT137" t="s">
        <v>490</v>
      </c>
      <c r="BU137" t="s">
        <v>490</v>
      </c>
      <c r="BV137" t="s">
        <v>489</v>
      </c>
      <c r="BW137" t="s">
        <v>490</v>
      </c>
      <c r="BX137" t="s">
        <v>490</v>
      </c>
      <c r="BY137" t="s">
        <v>489</v>
      </c>
      <c r="BZ137" t="s">
        <v>490</v>
      </c>
      <c r="CA137" t="s">
        <v>490</v>
      </c>
      <c r="DI137" t="s">
        <v>490</v>
      </c>
      <c r="DJ137" t="s">
        <v>490</v>
      </c>
      <c r="DK137" t="s">
        <v>489</v>
      </c>
      <c r="DL137" t="s">
        <v>490</v>
      </c>
      <c r="DM137" t="s">
        <v>490</v>
      </c>
      <c r="DN137" t="s">
        <v>489</v>
      </c>
      <c r="DO137" t="s">
        <v>490</v>
      </c>
      <c r="DP137" t="s">
        <v>490</v>
      </c>
      <c r="DQ137" t="s">
        <v>489</v>
      </c>
      <c r="DR137" t="s">
        <v>489</v>
      </c>
      <c r="DS137" t="s">
        <v>490</v>
      </c>
      <c r="DT137" t="s">
        <v>490</v>
      </c>
      <c r="DU137" t="s">
        <v>489</v>
      </c>
      <c r="DV137" t="s">
        <v>490</v>
      </c>
      <c r="DW137" t="s">
        <v>490</v>
      </c>
      <c r="DX137" t="s">
        <v>490</v>
      </c>
      <c r="DY137" t="s">
        <v>490</v>
      </c>
      <c r="DZ137" t="s">
        <v>489</v>
      </c>
      <c r="EY137">
        <v>40</v>
      </c>
      <c r="EZ137">
        <v>0</v>
      </c>
      <c r="FA137">
        <v>100</v>
      </c>
      <c r="FB137" t="s">
        <v>543</v>
      </c>
      <c r="OH137" s="15">
        <v>8</v>
      </c>
      <c r="OI137" s="15">
        <v>5</v>
      </c>
      <c r="OJ137" s="15">
        <v>7</v>
      </c>
      <c r="OK137" s="15">
        <v>5</v>
      </c>
      <c r="OL137" s="15">
        <v>8</v>
      </c>
      <c r="OM137" s="15">
        <v>7</v>
      </c>
      <c r="ON137" s="15">
        <v>5</v>
      </c>
      <c r="OO137" s="15">
        <v>1</v>
      </c>
      <c r="OQ137" t="s">
        <v>519</v>
      </c>
      <c r="OR137" t="s">
        <v>519</v>
      </c>
      <c r="PS137" t="s">
        <v>632</v>
      </c>
      <c r="PT137" t="s">
        <v>519</v>
      </c>
      <c r="PU137" t="s">
        <v>519</v>
      </c>
      <c r="PV137">
        <v>3000</v>
      </c>
      <c r="PW137">
        <v>0</v>
      </c>
      <c r="PX137">
        <v>3000</v>
      </c>
      <c r="PY137" t="s">
        <v>493</v>
      </c>
      <c r="PZ137" t="s">
        <v>493</v>
      </c>
      <c r="QA137">
        <v>10</v>
      </c>
      <c r="QB137">
        <v>90</v>
      </c>
      <c r="QC137">
        <v>100</v>
      </c>
      <c r="QD137">
        <v>0</v>
      </c>
      <c r="QE137" t="s">
        <v>508</v>
      </c>
      <c r="QZ137">
        <v>0</v>
      </c>
      <c r="RA137">
        <v>6</v>
      </c>
      <c r="RB137" t="s">
        <v>490</v>
      </c>
      <c r="RC137" t="s">
        <v>490</v>
      </c>
      <c r="RD137" t="s">
        <v>490</v>
      </c>
      <c r="RE137" t="s">
        <v>489</v>
      </c>
      <c r="RF137" t="s">
        <v>490</v>
      </c>
      <c r="RG137" t="s">
        <v>490</v>
      </c>
      <c r="RH137" t="s">
        <v>490</v>
      </c>
      <c r="RI137" t="s">
        <v>490</v>
      </c>
      <c r="RJ137" t="s">
        <v>633</v>
      </c>
      <c r="RQ137" t="s">
        <v>634</v>
      </c>
      <c r="RR137" t="s">
        <v>635</v>
      </c>
    </row>
    <row r="138" spans="1:486">
      <c r="A138">
        <v>11532</v>
      </c>
      <c r="B138" t="s">
        <v>506</v>
      </c>
      <c r="C138" t="s">
        <v>974</v>
      </c>
      <c r="D138" t="s">
        <v>498</v>
      </c>
      <c r="E138" t="s">
        <v>500</v>
      </c>
      <c r="F138" t="s">
        <v>505</v>
      </c>
      <c r="G138">
        <v>1.9</v>
      </c>
      <c r="H138" t="s">
        <v>487</v>
      </c>
      <c r="I138" t="s">
        <v>487</v>
      </c>
      <c r="J138" t="s">
        <v>488</v>
      </c>
      <c r="K138" t="s">
        <v>487</v>
      </c>
      <c r="L138" t="s">
        <v>489</v>
      </c>
      <c r="M138" t="s">
        <v>489</v>
      </c>
      <c r="N138" t="s">
        <v>489</v>
      </c>
      <c r="O138" t="s">
        <v>489</v>
      </c>
      <c r="P138" t="s">
        <v>490</v>
      </c>
      <c r="Q138" t="s">
        <v>490</v>
      </c>
      <c r="R138" t="s">
        <v>489</v>
      </c>
      <c r="S138" t="s">
        <v>489</v>
      </c>
      <c r="T138" t="s">
        <v>489</v>
      </c>
      <c r="U138" t="s">
        <v>490</v>
      </c>
      <c r="V138" t="s">
        <v>490</v>
      </c>
      <c r="W138" t="s">
        <v>489</v>
      </c>
      <c r="X138" t="s">
        <v>490</v>
      </c>
      <c r="Y138" t="s">
        <v>490</v>
      </c>
      <c r="Z138" t="s">
        <v>490</v>
      </c>
      <c r="AA138" t="s">
        <v>490</v>
      </c>
      <c r="AB138" t="s">
        <v>489</v>
      </c>
      <c r="AC138" t="s">
        <v>490</v>
      </c>
      <c r="AD138" t="s">
        <v>490</v>
      </c>
      <c r="AE138" t="s">
        <v>489</v>
      </c>
      <c r="AF138" t="s">
        <v>490</v>
      </c>
      <c r="AG138" t="s">
        <v>490</v>
      </c>
      <c r="AH138" t="s">
        <v>489</v>
      </c>
      <c r="AI138" t="s">
        <v>489</v>
      </c>
      <c r="AJ138" t="s">
        <v>489</v>
      </c>
      <c r="AK138" t="s">
        <v>490</v>
      </c>
      <c r="AL138" t="s">
        <v>490</v>
      </c>
      <c r="AM138" t="s">
        <v>490</v>
      </c>
      <c r="AN138" t="s">
        <v>489</v>
      </c>
      <c r="AO138" t="s">
        <v>490</v>
      </c>
      <c r="AP138" t="s">
        <v>490</v>
      </c>
      <c r="AQ138" t="s">
        <v>489</v>
      </c>
      <c r="AR138" t="s">
        <v>489</v>
      </c>
      <c r="AS138" t="s">
        <v>489</v>
      </c>
      <c r="AT138" t="s">
        <v>490</v>
      </c>
      <c r="AU138" t="s">
        <v>489</v>
      </c>
      <c r="AV138" t="s">
        <v>489</v>
      </c>
      <c r="AW138" t="s">
        <v>490</v>
      </c>
      <c r="AX138" t="s">
        <v>489</v>
      </c>
      <c r="AY138" t="s">
        <v>489</v>
      </c>
      <c r="AZ138" t="s">
        <v>490</v>
      </c>
      <c r="BA138" t="s">
        <v>490</v>
      </c>
      <c r="BB138" t="s">
        <v>490</v>
      </c>
      <c r="BC138" t="s">
        <v>489</v>
      </c>
      <c r="BD138" t="s">
        <v>489</v>
      </c>
      <c r="BE138" t="s">
        <v>489</v>
      </c>
      <c r="BF138" t="s">
        <v>490</v>
      </c>
      <c r="BG138" t="s">
        <v>490</v>
      </c>
      <c r="BH138" t="s">
        <v>490</v>
      </c>
      <c r="BI138" t="s">
        <v>489</v>
      </c>
      <c r="BJ138" t="s">
        <v>489</v>
      </c>
      <c r="BK138" t="s">
        <v>489</v>
      </c>
      <c r="BL138" t="s">
        <v>490</v>
      </c>
      <c r="BM138" t="s">
        <v>489</v>
      </c>
      <c r="BN138" t="s">
        <v>489</v>
      </c>
      <c r="BO138" t="s">
        <v>490</v>
      </c>
      <c r="BP138" t="s">
        <v>490</v>
      </c>
      <c r="BQ138" t="s">
        <v>490</v>
      </c>
      <c r="BR138" t="s">
        <v>489</v>
      </c>
      <c r="BS138" t="s">
        <v>489</v>
      </c>
      <c r="BT138" t="s">
        <v>489</v>
      </c>
      <c r="BU138" t="s">
        <v>490</v>
      </c>
      <c r="BV138" t="s">
        <v>490</v>
      </c>
      <c r="BW138" t="s">
        <v>490</v>
      </c>
      <c r="BX138" t="s">
        <v>489</v>
      </c>
      <c r="BY138" t="s">
        <v>489</v>
      </c>
      <c r="BZ138" t="s">
        <v>489</v>
      </c>
      <c r="CA138" t="s">
        <v>490</v>
      </c>
      <c r="CB138" t="s">
        <v>490</v>
      </c>
      <c r="CC138" t="s">
        <v>490</v>
      </c>
      <c r="CD138" t="s">
        <v>489</v>
      </c>
      <c r="CE138" t="s">
        <v>490</v>
      </c>
      <c r="CF138" t="s">
        <v>490</v>
      </c>
      <c r="CG138" t="s">
        <v>489</v>
      </c>
      <c r="CH138" t="s">
        <v>489</v>
      </c>
      <c r="CI138" t="s">
        <v>489</v>
      </c>
      <c r="CJ138" t="s">
        <v>490</v>
      </c>
      <c r="CK138" t="s">
        <v>489</v>
      </c>
      <c r="CL138" t="s">
        <v>489</v>
      </c>
      <c r="CM138" t="s">
        <v>490</v>
      </c>
      <c r="CN138" t="s">
        <v>489</v>
      </c>
      <c r="CO138" t="s">
        <v>489</v>
      </c>
      <c r="CP138" t="s">
        <v>490</v>
      </c>
      <c r="DI138" t="s">
        <v>489</v>
      </c>
      <c r="DJ138" t="s">
        <v>489</v>
      </c>
      <c r="DK138" t="s">
        <v>490</v>
      </c>
      <c r="DL138" t="s">
        <v>489</v>
      </c>
      <c r="DM138" t="s">
        <v>490</v>
      </c>
      <c r="DN138" t="s">
        <v>490</v>
      </c>
      <c r="DO138" t="s">
        <v>490</v>
      </c>
      <c r="DP138" t="s">
        <v>490</v>
      </c>
      <c r="DQ138" t="s">
        <v>489</v>
      </c>
      <c r="DR138" t="s">
        <v>489</v>
      </c>
      <c r="DS138" t="s">
        <v>489</v>
      </c>
      <c r="DT138" t="s">
        <v>490</v>
      </c>
      <c r="DU138" t="s">
        <v>489</v>
      </c>
      <c r="DV138" t="s">
        <v>489</v>
      </c>
      <c r="DW138" t="s">
        <v>490</v>
      </c>
      <c r="DX138" t="s">
        <v>490</v>
      </c>
      <c r="DY138" t="s">
        <v>490</v>
      </c>
      <c r="DZ138" t="s">
        <v>489</v>
      </c>
      <c r="EA138" t="s">
        <v>490</v>
      </c>
      <c r="EB138" t="s">
        <v>490</v>
      </c>
      <c r="EC138" t="s">
        <v>489</v>
      </c>
      <c r="ED138" t="s">
        <v>490</v>
      </c>
      <c r="EE138" t="s">
        <v>490</v>
      </c>
      <c r="EF138" t="s">
        <v>489</v>
      </c>
      <c r="EG138" t="s">
        <v>490</v>
      </c>
      <c r="EH138" t="s">
        <v>490</v>
      </c>
      <c r="EI138" t="s">
        <v>489</v>
      </c>
      <c r="EJ138" t="s">
        <v>490</v>
      </c>
      <c r="EK138" t="s">
        <v>490</v>
      </c>
      <c r="EL138" t="s">
        <v>489</v>
      </c>
      <c r="EM138" t="s">
        <v>490</v>
      </c>
      <c r="EN138" t="s">
        <v>490</v>
      </c>
      <c r="EO138" t="s">
        <v>489</v>
      </c>
      <c r="EP138" t="s">
        <v>490</v>
      </c>
      <c r="EQ138" t="s">
        <v>489</v>
      </c>
      <c r="ER138" t="s">
        <v>490</v>
      </c>
      <c r="ES138" t="s">
        <v>490</v>
      </c>
      <c r="ET138" t="s">
        <v>489</v>
      </c>
      <c r="EU138" t="s">
        <v>490</v>
      </c>
      <c r="EV138" t="s">
        <v>490</v>
      </c>
      <c r="EW138" t="s">
        <v>490</v>
      </c>
      <c r="EX138" t="s">
        <v>489</v>
      </c>
      <c r="EY138">
        <v>75</v>
      </c>
      <c r="EZ138">
        <v>15</v>
      </c>
      <c r="FA138">
        <v>10</v>
      </c>
      <c r="FB138" t="s">
        <v>543</v>
      </c>
      <c r="OH138" s="15">
        <v>9</v>
      </c>
      <c r="OI138" s="15">
        <v>5</v>
      </c>
      <c r="OJ138" s="15">
        <v>2</v>
      </c>
      <c r="OK138" s="15">
        <v>1</v>
      </c>
      <c r="OL138" s="15">
        <v>7</v>
      </c>
      <c r="OM138" s="15">
        <v>6</v>
      </c>
      <c r="ON138" s="15">
        <v>1</v>
      </c>
      <c r="OO138" s="15">
        <v>9</v>
      </c>
      <c r="OQ138" t="s">
        <v>488</v>
      </c>
      <c r="OR138" t="s">
        <v>488</v>
      </c>
      <c r="OY138">
        <v>100</v>
      </c>
      <c r="OZ138">
        <v>10</v>
      </c>
      <c r="PA138">
        <v>0</v>
      </c>
      <c r="PB138">
        <v>0</v>
      </c>
      <c r="PC138">
        <v>0</v>
      </c>
      <c r="PD138">
        <v>0</v>
      </c>
      <c r="PE138">
        <v>0</v>
      </c>
      <c r="PF138">
        <v>0</v>
      </c>
      <c r="PG138">
        <v>0</v>
      </c>
      <c r="PH138">
        <v>0</v>
      </c>
      <c r="PI138">
        <v>100</v>
      </c>
      <c r="PJ138">
        <v>20</v>
      </c>
      <c r="PK138">
        <v>0</v>
      </c>
      <c r="PL138">
        <v>0</v>
      </c>
      <c r="PM138">
        <v>0</v>
      </c>
      <c r="PN138">
        <v>0</v>
      </c>
      <c r="PO138">
        <v>0</v>
      </c>
      <c r="PP138">
        <v>0</v>
      </c>
      <c r="PQ138">
        <v>0</v>
      </c>
      <c r="PR138">
        <v>0</v>
      </c>
      <c r="PT138" t="s">
        <v>488</v>
      </c>
      <c r="PU138" t="s">
        <v>497</v>
      </c>
      <c r="PV138">
        <v>40000</v>
      </c>
      <c r="PW138">
        <v>0</v>
      </c>
      <c r="PX138">
        <v>40000</v>
      </c>
      <c r="PY138" t="s">
        <v>493</v>
      </c>
      <c r="PZ138" t="s">
        <v>493</v>
      </c>
      <c r="QA138">
        <v>50</v>
      </c>
      <c r="QB138">
        <v>50</v>
      </c>
      <c r="QC138">
        <v>75</v>
      </c>
      <c r="QD138">
        <v>25</v>
      </c>
      <c r="QE138" t="s">
        <v>508</v>
      </c>
      <c r="QZ138">
        <v>0.5</v>
      </c>
      <c r="RA138">
        <v>0.8</v>
      </c>
      <c r="RB138" t="s">
        <v>489</v>
      </c>
      <c r="RC138" t="s">
        <v>490</v>
      </c>
      <c r="RD138" t="s">
        <v>490</v>
      </c>
      <c r="RE138" t="s">
        <v>490</v>
      </c>
      <c r="RF138" t="s">
        <v>490</v>
      </c>
      <c r="RG138" t="s">
        <v>490</v>
      </c>
      <c r="RH138" t="s">
        <v>490</v>
      </c>
      <c r="RI138" t="s">
        <v>490</v>
      </c>
      <c r="RJ138" t="s">
        <v>637</v>
      </c>
      <c r="RL138" t="s">
        <v>638</v>
      </c>
    </row>
    <row r="139" spans="1:486">
      <c r="A139">
        <v>12076</v>
      </c>
      <c r="B139" t="s">
        <v>503</v>
      </c>
      <c r="C139" t="s">
        <v>972</v>
      </c>
      <c r="D139" t="s">
        <v>498</v>
      </c>
      <c r="E139" t="s">
        <v>500</v>
      </c>
      <c r="F139" t="s">
        <v>517</v>
      </c>
      <c r="G139">
        <v>0.9</v>
      </c>
      <c r="H139" t="s">
        <v>487</v>
      </c>
      <c r="I139" t="s">
        <v>487</v>
      </c>
      <c r="J139" t="s">
        <v>487</v>
      </c>
      <c r="K139" t="s">
        <v>488</v>
      </c>
      <c r="L139" t="s">
        <v>489</v>
      </c>
      <c r="M139" t="s">
        <v>489</v>
      </c>
      <c r="N139" t="s">
        <v>489</v>
      </c>
      <c r="O139" t="s">
        <v>489</v>
      </c>
      <c r="P139" t="s">
        <v>489</v>
      </c>
      <c r="Q139" t="s">
        <v>490</v>
      </c>
      <c r="R139" t="s">
        <v>489</v>
      </c>
      <c r="S139" t="s">
        <v>489</v>
      </c>
      <c r="T139" t="s">
        <v>489</v>
      </c>
      <c r="U139" t="s">
        <v>490</v>
      </c>
      <c r="V139" t="s">
        <v>490</v>
      </c>
      <c r="W139" t="s">
        <v>489</v>
      </c>
      <c r="X139" t="s">
        <v>490</v>
      </c>
      <c r="Y139" t="s">
        <v>490</v>
      </c>
      <c r="Z139" t="s">
        <v>490</v>
      </c>
      <c r="AA139" t="s">
        <v>490</v>
      </c>
      <c r="AB139" t="s">
        <v>489</v>
      </c>
      <c r="AC139" t="s">
        <v>490</v>
      </c>
      <c r="AD139" t="s">
        <v>490</v>
      </c>
      <c r="AE139" t="s">
        <v>489</v>
      </c>
      <c r="AF139" t="s">
        <v>489</v>
      </c>
      <c r="AG139" t="s">
        <v>490</v>
      </c>
      <c r="AH139" t="s">
        <v>490</v>
      </c>
      <c r="AI139" t="s">
        <v>489</v>
      </c>
      <c r="AJ139" t="s">
        <v>490</v>
      </c>
      <c r="AK139" t="s">
        <v>490</v>
      </c>
      <c r="AL139" t="s">
        <v>490</v>
      </c>
      <c r="AM139" t="s">
        <v>490</v>
      </c>
      <c r="AN139" t="s">
        <v>489</v>
      </c>
      <c r="AO139" t="s">
        <v>490</v>
      </c>
      <c r="AP139" t="s">
        <v>490</v>
      </c>
      <c r="AQ139" t="s">
        <v>489</v>
      </c>
      <c r="AR139" t="s">
        <v>490</v>
      </c>
      <c r="AS139" t="s">
        <v>490</v>
      </c>
      <c r="AT139" t="s">
        <v>489</v>
      </c>
      <c r="AU139" t="s">
        <v>489</v>
      </c>
      <c r="AV139" t="s">
        <v>490</v>
      </c>
      <c r="AW139" t="s">
        <v>490</v>
      </c>
      <c r="AX139" t="s">
        <v>489</v>
      </c>
      <c r="AY139" t="s">
        <v>490</v>
      </c>
      <c r="AZ139" t="s">
        <v>490</v>
      </c>
      <c r="BA139" t="s">
        <v>489</v>
      </c>
      <c r="BB139" t="s">
        <v>490</v>
      </c>
      <c r="BC139" t="s">
        <v>490</v>
      </c>
      <c r="BD139" t="s">
        <v>489</v>
      </c>
      <c r="BE139" t="s">
        <v>490</v>
      </c>
      <c r="BF139" t="s">
        <v>490</v>
      </c>
      <c r="BG139" t="s">
        <v>489</v>
      </c>
      <c r="BH139" t="s">
        <v>490</v>
      </c>
      <c r="BI139" t="s">
        <v>490</v>
      </c>
      <c r="BJ139" t="s">
        <v>489</v>
      </c>
      <c r="BK139" t="s">
        <v>489</v>
      </c>
      <c r="BL139" t="s">
        <v>490</v>
      </c>
      <c r="BM139" t="s">
        <v>489</v>
      </c>
      <c r="BN139" t="s">
        <v>490</v>
      </c>
      <c r="BO139" t="s">
        <v>490</v>
      </c>
      <c r="BP139" t="s">
        <v>490</v>
      </c>
      <c r="BQ139" t="s">
        <v>490</v>
      </c>
      <c r="BR139" t="s">
        <v>489</v>
      </c>
      <c r="BS139" t="s">
        <v>490</v>
      </c>
      <c r="BT139" t="s">
        <v>490</v>
      </c>
      <c r="BU139" t="s">
        <v>489</v>
      </c>
      <c r="BV139" t="s">
        <v>489</v>
      </c>
      <c r="BW139" t="s">
        <v>490</v>
      </c>
      <c r="BX139" t="s">
        <v>490</v>
      </c>
      <c r="BY139" t="s">
        <v>489</v>
      </c>
      <c r="BZ139" t="s">
        <v>490</v>
      </c>
      <c r="CA139" t="s">
        <v>490</v>
      </c>
      <c r="CB139" t="s">
        <v>489</v>
      </c>
      <c r="CC139" t="s">
        <v>490</v>
      </c>
      <c r="CD139" t="s">
        <v>490</v>
      </c>
      <c r="CE139" t="s">
        <v>490</v>
      </c>
      <c r="CF139" t="s">
        <v>490</v>
      </c>
      <c r="CG139" t="s">
        <v>489</v>
      </c>
      <c r="CH139" t="s">
        <v>489</v>
      </c>
      <c r="CI139" t="s">
        <v>490</v>
      </c>
      <c r="CJ139" t="s">
        <v>490</v>
      </c>
      <c r="CK139" t="s">
        <v>489</v>
      </c>
      <c r="CL139" t="s">
        <v>490</v>
      </c>
      <c r="CM139" t="s">
        <v>490</v>
      </c>
      <c r="CN139" t="s">
        <v>489</v>
      </c>
      <c r="CO139" t="s">
        <v>490</v>
      </c>
      <c r="CP139" t="s">
        <v>490</v>
      </c>
      <c r="CQ139" t="s">
        <v>489</v>
      </c>
      <c r="CR139" t="s">
        <v>490</v>
      </c>
      <c r="CS139" t="s">
        <v>490</v>
      </c>
      <c r="CT139" t="s">
        <v>490</v>
      </c>
      <c r="CU139" t="s">
        <v>490</v>
      </c>
      <c r="CV139" t="s">
        <v>489</v>
      </c>
      <c r="DI139" t="s">
        <v>490</v>
      </c>
      <c r="DJ139" t="s">
        <v>490</v>
      </c>
      <c r="DK139" t="s">
        <v>489</v>
      </c>
      <c r="DL139" t="s">
        <v>489</v>
      </c>
      <c r="DM139" t="s">
        <v>490</v>
      </c>
      <c r="DN139" t="s">
        <v>490</v>
      </c>
      <c r="DO139" t="s">
        <v>490</v>
      </c>
      <c r="DP139" t="s">
        <v>490</v>
      </c>
      <c r="DQ139" t="s">
        <v>489</v>
      </c>
      <c r="DR139" t="s">
        <v>489</v>
      </c>
      <c r="DS139" t="s">
        <v>489</v>
      </c>
      <c r="DT139" t="s">
        <v>490</v>
      </c>
      <c r="DU139" t="s">
        <v>489</v>
      </c>
      <c r="DV139" t="s">
        <v>489</v>
      </c>
      <c r="DW139" t="s">
        <v>490</v>
      </c>
      <c r="DX139" t="s">
        <v>490</v>
      </c>
      <c r="DY139" t="s">
        <v>490</v>
      </c>
      <c r="DZ139" t="s">
        <v>489</v>
      </c>
      <c r="EA139" t="s">
        <v>490</v>
      </c>
      <c r="EB139" t="s">
        <v>489</v>
      </c>
      <c r="EC139" t="s">
        <v>490</v>
      </c>
      <c r="ED139" t="s">
        <v>490</v>
      </c>
      <c r="EE139" t="s">
        <v>490</v>
      </c>
      <c r="EF139" t="s">
        <v>489</v>
      </c>
      <c r="EG139" t="s">
        <v>490</v>
      </c>
      <c r="EH139" t="s">
        <v>490</v>
      </c>
      <c r="EI139" t="s">
        <v>489</v>
      </c>
      <c r="EJ139" t="s">
        <v>490</v>
      </c>
      <c r="EK139" t="s">
        <v>490</v>
      </c>
      <c r="EL139" t="s">
        <v>489</v>
      </c>
      <c r="EM139" t="s">
        <v>490</v>
      </c>
      <c r="EN139" t="s">
        <v>490</v>
      </c>
      <c r="EO139" t="s">
        <v>489</v>
      </c>
      <c r="EP139" t="s">
        <v>490</v>
      </c>
      <c r="EQ139" t="s">
        <v>490</v>
      </c>
      <c r="ER139" t="s">
        <v>489</v>
      </c>
      <c r="ES139" t="s">
        <v>490</v>
      </c>
      <c r="ET139" t="s">
        <v>490</v>
      </c>
      <c r="EU139" t="s">
        <v>489</v>
      </c>
      <c r="EV139" t="s">
        <v>490</v>
      </c>
      <c r="EW139" t="s">
        <v>490</v>
      </c>
      <c r="EX139" t="s">
        <v>489</v>
      </c>
      <c r="EY139">
        <v>30</v>
      </c>
      <c r="EZ139">
        <v>5</v>
      </c>
      <c r="FA139">
        <v>80</v>
      </c>
      <c r="FB139" t="s">
        <v>543</v>
      </c>
      <c r="OH139" s="15">
        <v>9</v>
      </c>
      <c r="OI139" s="15">
        <v>9</v>
      </c>
      <c r="OJ139" s="15">
        <v>6</v>
      </c>
      <c r="OK139" s="15">
        <v>7</v>
      </c>
      <c r="OL139" s="15">
        <v>6</v>
      </c>
      <c r="OM139" s="15">
        <v>9</v>
      </c>
      <c r="ON139" s="15">
        <v>7</v>
      </c>
      <c r="OO139" s="15">
        <v>8</v>
      </c>
      <c r="OQ139" t="s">
        <v>488</v>
      </c>
      <c r="OR139" t="s">
        <v>488</v>
      </c>
      <c r="OY139">
        <v>40</v>
      </c>
      <c r="OZ139">
        <v>0</v>
      </c>
      <c r="PA139">
        <v>0</v>
      </c>
      <c r="PB139">
        <v>0</v>
      </c>
      <c r="PC139">
        <v>0</v>
      </c>
      <c r="PD139">
        <v>0</v>
      </c>
      <c r="PE139">
        <v>0</v>
      </c>
      <c r="PF139">
        <v>0</v>
      </c>
      <c r="PG139">
        <v>0</v>
      </c>
      <c r="PH139">
        <v>0</v>
      </c>
      <c r="PI139">
        <v>60</v>
      </c>
      <c r="PJ139">
        <v>20</v>
      </c>
      <c r="PK139">
        <v>20</v>
      </c>
      <c r="PL139">
        <v>20</v>
      </c>
      <c r="PM139">
        <v>0</v>
      </c>
      <c r="PN139">
        <v>0</v>
      </c>
      <c r="PO139">
        <v>0</v>
      </c>
      <c r="PP139">
        <v>0</v>
      </c>
      <c r="PQ139">
        <v>0</v>
      </c>
      <c r="PR139">
        <v>0</v>
      </c>
      <c r="PT139" t="s">
        <v>488</v>
      </c>
      <c r="PU139" t="s">
        <v>497</v>
      </c>
      <c r="PV139">
        <v>20000</v>
      </c>
      <c r="PW139">
        <v>25000</v>
      </c>
      <c r="PX139">
        <v>45000</v>
      </c>
      <c r="PY139" t="s">
        <v>493</v>
      </c>
      <c r="PZ139" t="s">
        <v>510</v>
      </c>
      <c r="QA139">
        <v>50</v>
      </c>
      <c r="QB139">
        <v>50</v>
      </c>
      <c r="QC139">
        <v>100</v>
      </c>
      <c r="QD139">
        <v>0</v>
      </c>
      <c r="QE139" t="s">
        <v>494</v>
      </c>
      <c r="QF139">
        <v>2</v>
      </c>
      <c r="QG139">
        <v>5</v>
      </c>
      <c r="QH139">
        <v>0</v>
      </c>
      <c r="QI139">
        <v>3</v>
      </c>
      <c r="QJ139">
        <v>80</v>
      </c>
      <c r="QK139">
        <v>0</v>
      </c>
      <c r="QL139">
        <v>10</v>
      </c>
      <c r="QM139">
        <v>0</v>
      </c>
      <c r="QN139">
        <v>0</v>
      </c>
      <c r="QP139">
        <v>5</v>
      </c>
      <c r="QQ139">
        <v>65</v>
      </c>
      <c r="QR139">
        <v>5</v>
      </c>
      <c r="QS139">
        <v>0</v>
      </c>
      <c r="QT139">
        <v>0</v>
      </c>
      <c r="QU139">
        <v>5</v>
      </c>
      <c r="QV139">
        <v>0</v>
      </c>
      <c r="QW139">
        <v>20</v>
      </c>
      <c r="QX139">
        <v>0</v>
      </c>
      <c r="QZ139">
        <v>0.2</v>
      </c>
      <c r="RA139">
        <v>0.1</v>
      </c>
      <c r="RB139" t="s">
        <v>489</v>
      </c>
      <c r="RC139" t="s">
        <v>490</v>
      </c>
      <c r="RD139" t="s">
        <v>489</v>
      </c>
      <c r="RE139" t="s">
        <v>490</v>
      </c>
      <c r="RF139" t="s">
        <v>490</v>
      </c>
      <c r="RG139" t="s">
        <v>490</v>
      </c>
      <c r="RH139" t="s">
        <v>490</v>
      </c>
      <c r="RI139" t="s">
        <v>490</v>
      </c>
      <c r="RJ139" t="s">
        <v>639</v>
      </c>
      <c r="RL139" t="s">
        <v>640</v>
      </c>
    </row>
    <row r="140" spans="1:486">
      <c r="A140">
        <v>11550</v>
      </c>
      <c r="B140" t="s">
        <v>503</v>
      </c>
      <c r="C140" t="s">
        <v>972</v>
      </c>
      <c r="D140" t="s">
        <v>498</v>
      </c>
      <c r="E140" t="s">
        <v>500</v>
      </c>
      <c r="F140" t="s">
        <v>505</v>
      </c>
      <c r="G140">
        <v>2</v>
      </c>
      <c r="H140" t="s">
        <v>487</v>
      </c>
      <c r="I140" t="s">
        <v>487</v>
      </c>
      <c r="J140" t="s">
        <v>487</v>
      </c>
      <c r="K140" t="s">
        <v>487</v>
      </c>
      <c r="L140" t="s">
        <v>489</v>
      </c>
      <c r="M140" t="s">
        <v>489</v>
      </c>
      <c r="N140" t="s">
        <v>490</v>
      </c>
      <c r="O140" t="s">
        <v>490</v>
      </c>
      <c r="P140" t="s">
        <v>489</v>
      </c>
      <c r="Q140" t="s">
        <v>489</v>
      </c>
      <c r="R140" t="s">
        <v>490</v>
      </c>
      <c r="S140" t="s">
        <v>490</v>
      </c>
      <c r="T140" t="s">
        <v>489</v>
      </c>
      <c r="U140" t="s">
        <v>490</v>
      </c>
      <c r="V140" t="s">
        <v>490</v>
      </c>
      <c r="W140" t="s">
        <v>489</v>
      </c>
      <c r="X140" t="s">
        <v>490</v>
      </c>
      <c r="Y140" t="s">
        <v>490</v>
      </c>
      <c r="Z140" t="s">
        <v>490</v>
      </c>
      <c r="AA140" t="s">
        <v>490</v>
      </c>
      <c r="AB140" t="s">
        <v>489</v>
      </c>
      <c r="AC140" t="s">
        <v>490</v>
      </c>
      <c r="AD140" t="s">
        <v>490</v>
      </c>
      <c r="AE140" t="s">
        <v>489</v>
      </c>
      <c r="AF140" t="s">
        <v>489</v>
      </c>
      <c r="AG140" t="s">
        <v>490</v>
      </c>
      <c r="AH140" t="s">
        <v>490</v>
      </c>
      <c r="AI140" t="s">
        <v>490</v>
      </c>
      <c r="AJ140" t="s">
        <v>490</v>
      </c>
      <c r="AK140" t="s">
        <v>489</v>
      </c>
      <c r="AL140" t="s">
        <v>490</v>
      </c>
      <c r="AM140" t="s">
        <v>490</v>
      </c>
      <c r="AN140" t="s">
        <v>489</v>
      </c>
      <c r="AO140" t="s">
        <v>490</v>
      </c>
      <c r="AP140" t="s">
        <v>490</v>
      </c>
      <c r="AQ140" t="s">
        <v>489</v>
      </c>
      <c r="AR140" t="s">
        <v>490</v>
      </c>
      <c r="AS140" t="s">
        <v>490</v>
      </c>
      <c r="AT140" t="s">
        <v>489</v>
      </c>
      <c r="AU140" t="s">
        <v>490</v>
      </c>
      <c r="AV140" t="s">
        <v>490</v>
      </c>
      <c r="AW140" t="s">
        <v>489</v>
      </c>
      <c r="AX140" t="s">
        <v>489</v>
      </c>
      <c r="AY140" t="s">
        <v>490</v>
      </c>
      <c r="AZ140" t="s">
        <v>490</v>
      </c>
      <c r="BA140" t="s">
        <v>490</v>
      </c>
      <c r="BB140" t="s">
        <v>490</v>
      </c>
      <c r="BC140" t="s">
        <v>489</v>
      </c>
      <c r="BD140" t="s">
        <v>489</v>
      </c>
      <c r="BE140" t="s">
        <v>490</v>
      </c>
      <c r="BF140" t="s">
        <v>490</v>
      </c>
      <c r="BG140" t="s">
        <v>490</v>
      </c>
      <c r="BH140" t="s">
        <v>490</v>
      </c>
      <c r="BI140" t="s">
        <v>489</v>
      </c>
      <c r="BJ140" t="s">
        <v>490</v>
      </c>
      <c r="BK140" t="s">
        <v>489</v>
      </c>
      <c r="BL140" t="s">
        <v>490</v>
      </c>
      <c r="BM140" t="s">
        <v>490</v>
      </c>
      <c r="BN140" t="s">
        <v>490</v>
      </c>
      <c r="BO140" t="s">
        <v>489</v>
      </c>
      <c r="BP140" t="s">
        <v>490</v>
      </c>
      <c r="BQ140" t="s">
        <v>490</v>
      </c>
      <c r="BR140" t="s">
        <v>489</v>
      </c>
      <c r="BS140" t="s">
        <v>490</v>
      </c>
      <c r="BT140" t="s">
        <v>490</v>
      </c>
      <c r="BU140" t="s">
        <v>489</v>
      </c>
      <c r="CQ140" t="s">
        <v>490</v>
      </c>
      <c r="CR140" t="s">
        <v>490</v>
      </c>
      <c r="CS140" t="s">
        <v>489</v>
      </c>
      <c r="CT140" t="s">
        <v>489</v>
      </c>
      <c r="CU140" t="s">
        <v>490</v>
      </c>
      <c r="CV140" t="s">
        <v>490</v>
      </c>
      <c r="CW140" t="s">
        <v>489</v>
      </c>
      <c r="CX140" t="s">
        <v>490</v>
      </c>
      <c r="CY140" t="s">
        <v>490</v>
      </c>
      <c r="CZ140" t="s">
        <v>490</v>
      </c>
      <c r="DA140" t="s">
        <v>490</v>
      </c>
      <c r="DB140" t="s">
        <v>489</v>
      </c>
      <c r="DC140" t="s">
        <v>490</v>
      </c>
      <c r="DD140" t="s">
        <v>490</v>
      </c>
      <c r="DE140" t="s">
        <v>489</v>
      </c>
      <c r="DF140" t="s">
        <v>490</v>
      </c>
      <c r="DG140" t="s">
        <v>490</v>
      </c>
      <c r="DH140" t="s">
        <v>489</v>
      </c>
      <c r="EY140">
        <v>40</v>
      </c>
      <c r="EZ140">
        <v>40</v>
      </c>
      <c r="FA140">
        <v>60</v>
      </c>
      <c r="FB140" t="s">
        <v>543</v>
      </c>
      <c r="OH140" s="15">
        <v>9</v>
      </c>
      <c r="OI140" s="15">
        <v>5</v>
      </c>
      <c r="OJ140" s="15">
        <v>9</v>
      </c>
      <c r="OK140" s="15">
        <v>3</v>
      </c>
      <c r="OL140" s="15">
        <v>9</v>
      </c>
      <c r="OM140" s="15">
        <v>9</v>
      </c>
      <c r="ON140" s="15">
        <v>3</v>
      </c>
      <c r="OO140" s="15">
        <v>2</v>
      </c>
      <c r="OQ140" t="s">
        <v>519</v>
      </c>
      <c r="OR140" t="s">
        <v>488</v>
      </c>
      <c r="OY140">
        <v>0</v>
      </c>
      <c r="OZ140">
        <v>0</v>
      </c>
      <c r="PA140">
        <v>0</v>
      </c>
      <c r="PB140">
        <v>0</v>
      </c>
      <c r="PC140">
        <v>0</v>
      </c>
      <c r="PD140">
        <v>0</v>
      </c>
      <c r="PE140">
        <v>0</v>
      </c>
      <c r="PF140">
        <v>0</v>
      </c>
      <c r="PG140">
        <v>0</v>
      </c>
      <c r="PH140">
        <v>0</v>
      </c>
      <c r="PI140">
        <v>0</v>
      </c>
      <c r="PJ140">
        <v>0</v>
      </c>
      <c r="PK140">
        <v>0</v>
      </c>
      <c r="PL140">
        <v>0</v>
      </c>
      <c r="PM140">
        <v>0</v>
      </c>
      <c r="PN140">
        <v>0</v>
      </c>
      <c r="PO140">
        <v>0</v>
      </c>
      <c r="PP140">
        <v>0</v>
      </c>
      <c r="PQ140">
        <v>30</v>
      </c>
      <c r="PR140">
        <v>0</v>
      </c>
      <c r="PT140" t="s">
        <v>488</v>
      </c>
      <c r="PU140" t="s">
        <v>497</v>
      </c>
      <c r="PV140">
        <v>500</v>
      </c>
      <c r="PW140">
        <v>0</v>
      </c>
      <c r="PX140">
        <v>500</v>
      </c>
      <c r="PY140" t="s">
        <v>493</v>
      </c>
      <c r="PZ140" t="s">
        <v>493</v>
      </c>
      <c r="QA140">
        <v>30</v>
      </c>
      <c r="QB140">
        <v>70</v>
      </c>
      <c r="QC140">
        <v>100</v>
      </c>
      <c r="QD140">
        <v>0</v>
      </c>
      <c r="QE140" t="s">
        <v>508</v>
      </c>
      <c r="QZ140">
        <v>0.2</v>
      </c>
      <c r="RA140">
        <v>0.5</v>
      </c>
      <c r="RB140" t="s">
        <v>489</v>
      </c>
      <c r="RC140" t="s">
        <v>490</v>
      </c>
      <c r="RD140" t="s">
        <v>490</v>
      </c>
      <c r="RE140" t="s">
        <v>490</v>
      </c>
      <c r="RF140" t="s">
        <v>490</v>
      </c>
      <c r="RG140" t="s">
        <v>490</v>
      </c>
      <c r="RH140" t="s">
        <v>490</v>
      </c>
      <c r="RI140" t="s">
        <v>490</v>
      </c>
      <c r="RJ140" t="s">
        <v>642</v>
      </c>
    </row>
    <row r="141" spans="1:486">
      <c r="A141">
        <v>11953</v>
      </c>
      <c r="B141" t="s">
        <v>503</v>
      </c>
      <c r="C141" t="s">
        <v>972</v>
      </c>
      <c r="D141" t="s">
        <v>498</v>
      </c>
      <c r="E141" t="s">
        <v>500</v>
      </c>
      <c r="F141" t="s">
        <v>505</v>
      </c>
      <c r="G141">
        <v>6</v>
      </c>
      <c r="H141" t="s">
        <v>487</v>
      </c>
      <c r="I141" t="s">
        <v>487</v>
      </c>
      <c r="J141" t="s">
        <v>487</v>
      </c>
      <c r="K141" t="s">
        <v>487</v>
      </c>
      <c r="L141" t="s">
        <v>489</v>
      </c>
      <c r="M141" t="s">
        <v>489</v>
      </c>
      <c r="N141" t="s">
        <v>489</v>
      </c>
      <c r="O141" t="s">
        <v>489</v>
      </c>
      <c r="P141" t="s">
        <v>490</v>
      </c>
      <c r="Q141" t="s">
        <v>490</v>
      </c>
      <c r="R141" t="s">
        <v>489</v>
      </c>
      <c r="S141" t="s">
        <v>489</v>
      </c>
      <c r="T141" t="s">
        <v>489</v>
      </c>
      <c r="U141" t="s">
        <v>490</v>
      </c>
      <c r="V141" t="s">
        <v>490</v>
      </c>
      <c r="W141" t="s">
        <v>489</v>
      </c>
      <c r="X141" t="s">
        <v>490</v>
      </c>
      <c r="Y141" t="s">
        <v>490</v>
      </c>
      <c r="Z141" t="s">
        <v>490</v>
      </c>
      <c r="AA141" t="s">
        <v>490</v>
      </c>
      <c r="AB141" t="s">
        <v>489</v>
      </c>
      <c r="AC141" t="s">
        <v>489</v>
      </c>
      <c r="AD141" t="s">
        <v>490</v>
      </c>
      <c r="AE141" t="s">
        <v>490</v>
      </c>
      <c r="AF141" t="s">
        <v>489</v>
      </c>
      <c r="AG141" t="s">
        <v>490</v>
      </c>
      <c r="AH141" t="s">
        <v>490</v>
      </c>
      <c r="AI141" t="s">
        <v>490</v>
      </c>
      <c r="AJ141" t="s">
        <v>490</v>
      </c>
      <c r="AK141" t="s">
        <v>489</v>
      </c>
      <c r="AL141" t="s">
        <v>490</v>
      </c>
      <c r="AM141" t="s">
        <v>490</v>
      </c>
      <c r="AN141" t="s">
        <v>489</v>
      </c>
      <c r="AO141" t="s">
        <v>489</v>
      </c>
      <c r="AP141" t="s">
        <v>489</v>
      </c>
      <c r="AQ141" t="s">
        <v>490</v>
      </c>
      <c r="AR141" t="s">
        <v>490</v>
      </c>
      <c r="AS141" t="s">
        <v>490</v>
      </c>
      <c r="AT141" t="s">
        <v>489</v>
      </c>
      <c r="AU141" t="s">
        <v>489</v>
      </c>
      <c r="AV141" t="s">
        <v>489</v>
      </c>
      <c r="AW141" t="s">
        <v>490</v>
      </c>
      <c r="AX141" t="s">
        <v>489</v>
      </c>
      <c r="AY141" t="s">
        <v>490</v>
      </c>
      <c r="AZ141" t="s">
        <v>490</v>
      </c>
      <c r="BA141" t="s">
        <v>490</v>
      </c>
      <c r="BB141" t="s">
        <v>490</v>
      </c>
      <c r="BC141" t="s">
        <v>489</v>
      </c>
      <c r="BD141" t="s">
        <v>490</v>
      </c>
      <c r="BE141" t="s">
        <v>490</v>
      </c>
      <c r="BF141" t="s">
        <v>489</v>
      </c>
      <c r="BG141" t="s">
        <v>489</v>
      </c>
      <c r="BH141" t="s">
        <v>490</v>
      </c>
      <c r="BI141" t="s">
        <v>490</v>
      </c>
      <c r="BJ141" t="s">
        <v>489</v>
      </c>
      <c r="BK141" t="s">
        <v>489</v>
      </c>
      <c r="BL141" t="s">
        <v>490</v>
      </c>
      <c r="BM141" t="s">
        <v>489</v>
      </c>
      <c r="BN141" t="s">
        <v>490</v>
      </c>
      <c r="BO141" t="s">
        <v>490</v>
      </c>
      <c r="BP141" t="s">
        <v>490</v>
      </c>
      <c r="BQ141" t="s">
        <v>490</v>
      </c>
      <c r="BR141" t="s">
        <v>489</v>
      </c>
      <c r="BS141" t="s">
        <v>489</v>
      </c>
      <c r="BT141" t="s">
        <v>489</v>
      </c>
      <c r="BU141" t="s">
        <v>490</v>
      </c>
      <c r="BV141" t="s">
        <v>490</v>
      </c>
      <c r="BW141" t="s">
        <v>490</v>
      </c>
      <c r="BX141" t="s">
        <v>489</v>
      </c>
      <c r="BY141" t="s">
        <v>489</v>
      </c>
      <c r="BZ141" t="s">
        <v>490</v>
      </c>
      <c r="CA141" t="s">
        <v>490</v>
      </c>
      <c r="CB141" t="s">
        <v>489</v>
      </c>
      <c r="CC141" t="s">
        <v>490</v>
      </c>
      <c r="CD141" t="s">
        <v>490</v>
      </c>
      <c r="CE141" t="s">
        <v>490</v>
      </c>
      <c r="CF141" t="s">
        <v>490</v>
      </c>
      <c r="CG141" t="s">
        <v>489</v>
      </c>
      <c r="CH141" t="s">
        <v>490</v>
      </c>
      <c r="CI141" t="s">
        <v>490</v>
      </c>
      <c r="CJ141" t="s">
        <v>489</v>
      </c>
      <c r="CK141" t="s">
        <v>490</v>
      </c>
      <c r="CL141" t="s">
        <v>490</v>
      </c>
      <c r="CM141" t="s">
        <v>489</v>
      </c>
      <c r="CN141" t="s">
        <v>490</v>
      </c>
      <c r="CO141" t="s">
        <v>490</v>
      </c>
      <c r="CP141" t="s">
        <v>489</v>
      </c>
      <c r="DI141" t="s">
        <v>489</v>
      </c>
      <c r="DJ141" t="s">
        <v>489</v>
      </c>
      <c r="DK141" t="s">
        <v>490</v>
      </c>
      <c r="DL141" t="s">
        <v>489</v>
      </c>
      <c r="DM141" t="s">
        <v>489</v>
      </c>
      <c r="DN141" t="s">
        <v>490</v>
      </c>
      <c r="DO141" t="s">
        <v>490</v>
      </c>
      <c r="DP141" t="s">
        <v>490</v>
      </c>
      <c r="DQ141" t="s">
        <v>489</v>
      </c>
      <c r="DR141" t="s">
        <v>489</v>
      </c>
      <c r="DS141" t="s">
        <v>489</v>
      </c>
      <c r="DT141" t="s">
        <v>490</v>
      </c>
      <c r="DU141" t="s">
        <v>489</v>
      </c>
      <c r="DV141" t="s">
        <v>489</v>
      </c>
      <c r="DW141" t="s">
        <v>490</v>
      </c>
      <c r="DX141" t="s">
        <v>490</v>
      </c>
      <c r="DY141" t="s">
        <v>490</v>
      </c>
      <c r="DZ141" t="s">
        <v>489</v>
      </c>
      <c r="EA141" t="s">
        <v>490</v>
      </c>
      <c r="EB141" t="s">
        <v>489</v>
      </c>
      <c r="EC141" t="s">
        <v>490</v>
      </c>
      <c r="ED141" t="s">
        <v>490</v>
      </c>
      <c r="EE141" t="s">
        <v>490</v>
      </c>
      <c r="EF141" t="s">
        <v>489</v>
      </c>
      <c r="EG141" t="s">
        <v>490</v>
      </c>
      <c r="EH141" t="s">
        <v>489</v>
      </c>
      <c r="EI141" t="s">
        <v>490</v>
      </c>
      <c r="EJ141" t="s">
        <v>490</v>
      </c>
      <c r="EK141" t="s">
        <v>490</v>
      </c>
      <c r="EL141" t="s">
        <v>489</v>
      </c>
      <c r="EM141" t="s">
        <v>490</v>
      </c>
      <c r="EN141" t="s">
        <v>490</v>
      </c>
      <c r="EO141" t="s">
        <v>489</v>
      </c>
      <c r="EP141" t="s">
        <v>490</v>
      </c>
      <c r="EQ141" t="s">
        <v>490</v>
      </c>
      <c r="ER141" t="s">
        <v>489</v>
      </c>
      <c r="ES141" t="s">
        <v>490</v>
      </c>
      <c r="ET141" t="s">
        <v>489</v>
      </c>
      <c r="EU141" t="s">
        <v>490</v>
      </c>
      <c r="EV141" t="s">
        <v>490</v>
      </c>
      <c r="EW141" t="s">
        <v>490</v>
      </c>
      <c r="EX141" t="s">
        <v>489</v>
      </c>
      <c r="EY141">
        <v>25</v>
      </c>
      <c r="EZ141">
        <v>10</v>
      </c>
      <c r="FA141">
        <v>80</v>
      </c>
      <c r="FB141" t="s">
        <v>543</v>
      </c>
      <c r="OH141" s="15">
        <v>10</v>
      </c>
      <c r="OI141" s="15">
        <v>3</v>
      </c>
      <c r="OJ141" s="15">
        <v>10</v>
      </c>
      <c r="OK141" s="15">
        <v>5</v>
      </c>
      <c r="OL141" s="15">
        <v>10</v>
      </c>
      <c r="OM141" s="15">
        <v>10</v>
      </c>
      <c r="ON141" s="15">
        <v>6</v>
      </c>
      <c r="OO141" s="15">
        <v>1</v>
      </c>
      <c r="OQ141" t="s">
        <v>487</v>
      </c>
      <c r="OR141" t="s">
        <v>488</v>
      </c>
      <c r="OY141">
        <v>25</v>
      </c>
      <c r="OZ141">
        <v>15</v>
      </c>
      <c r="PA141">
        <v>0</v>
      </c>
      <c r="PB141">
        <v>0</v>
      </c>
      <c r="PC141">
        <v>0</v>
      </c>
      <c r="PD141">
        <v>0</v>
      </c>
      <c r="PE141">
        <v>0</v>
      </c>
      <c r="PF141">
        <v>0</v>
      </c>
      <c r="PG141">
        <v>0</v>
      </c>
      <c r="PH141">
        <v>0</v>
      </c>
      <c r="PI141">
        <v>50</v>
      </c>
      <c r="PJ141">
        <v>25</v>
      </c>
      <c r="PK141">
        <v>0</v>
      </c>
      <c r="PL141">
        <v>0</v>
      </c>
      <c r="PM141">
        <v>0</v>
      </c>
      <c r="PN141">
        <v>0</v>
      </c>
      <c r="PO141">
        <v>0</v>
      </c>
      <c r="PP141">
        <v>0</v>
      </c>
      <c r="PQ141">
        <v>0</v>
      </c>
      <c r="PR141">
        <v>0</v>
      </c>
      <c r="PT141" t="s">
        <v>487</v>
      </c>
      <c r="PU141" t="s">
        <v>515</v>
      </c>
      <c r="PV141">
        <v>6000</v>
      </c>
      <c r="PW141">
        <v>0</v>
      </c>
      <c r="PX141">
        <v>6000</v>
      </c>
      <c r="PY141" t="s">
        <v>493</v>
      </c>
      <c r="PZ141" t="s">
        <v>493</v>
      </c>
      <c r="QA141">
        <v>0</v>
      </c>
      <c r="QB141">
        <v>100</v>
      </c>
      <c r="QC141">
        <v>60</v>
      </c>
      <c r="QD141">
        <v>40</v>
      </c>
      <c r="QE141" t="s">
        <v>508</v>
      </c>
      <c r="QZ141">
        <v>0.5</v>
      </c>
      <c r="RA141">
        <v>3</v>
      </c>
      <c r="RB141" t="s">
        <v>489</v>
      </c>
      <c r="RC141" t="s">
        <v>490</v>
      </c>
      <c r="RD141" t="s">
        <v>490</v>
      </c>
      <c r="RE141" t="s">
        <v>490</v>
      </c>
      <c r="RF141" t="s">
        <v>490</v>
      </c>
      <c r="RG141" t="s">
        <v>490</v>
      </c>
      <c r="RH141" t="s">
        <v>490</v>
      </c>
      <c r="RI141" t="s">
        <v>490</v>
      </c>
      <c r="RJ141" t="s">
        <v>643</v>
      </c>
      <c r="RR141" t="s">
        <v>644</v>
      </c>
    </row>
    <row r="142" spans="1:486">
      <c r="A142">
        <v>1003758</v>
      </c>
      <c r="B142" t="s">
        <v>485</v>
      </c>
      <c r="C142" t="s">
        <v>973</v>
      </c>
      <c r="D142" t="s">
        <v>498</v>
      </c>
      <c r="E142" t="s">
        <v>500</v>
      </c>
      <c r="F142" t="s">
        <v>496</v>
      </c>
      <c r="G142">
        <v>8.4</v>
      </c>
      <c r="H142" t="s">
        <v>487</v>
      </c>
      <c r="I142" t="s">
        <v>487</v>
      </c>
      <c r="J142" t="s">
        <v>487</v>
      </c>
      <c r="K142" t="s">
        <v>487</v>
      </c>
      <c r="L142" t="s">
        <v>489</v>
      </c>
      <c r="M142" t="s">
        <v>489</v>
      </c>
      <c r="N142" t="s">
        <v>489</v>
      </c>
      <c r="O142" t="s">
        <v>490</v>
      </c>
      <c r="P142" t="s">
        <v>490</v>
      </c>
      <c r="Q142" t="s">
        <v>490</v>
      </c>
      <c r="R142" t="s">
        <v>490</v>
      </c>
      <c r="S142" t="s">
        <v>490</v>
      </c>
      <c r="T142" t="s">
        <v>489</v>
      </c>
      <c r="U142" t="s">
        <v>490</v>
      </c>
      <c r="V142" t="s">
        <v>490</v>
      </c>
      <c r="W142" t="s">
        <v>489</v>
      </c>
      <c r="X142" t="s">
        <v>490</v>
      </c>
      <c r="Y142" t="s">
        <v>490</v>
      </c>
      <c r="Z142" t="s">
        <v>490</v>
      </c>
      <c r="AA142" t="s">
        <v>490</v>
      </c>
      <c r="AB142" t="s">
        <v>489</v>
      </c>
      <c r="AC142" t="s">
        <v>489</v>
      </c>
      <c r="AD142" t="s">
        <v>490</v>
      </c>
      <c r="AE142" t="s">
        <v>490</v>
      </c>
      <c r="AF142" t="s">
        <v>489</v>
      </c>
      <c r="AG142" t="s">
        <v>490</v>
      </c>
      <c r="AH142" t="s">
        <v>490</v>
      </c>
      <c r="AI142" t="s">
        <v>489</v>
      </c>
      <c r="AJ142" t="s">
        <v>490</v>
      </c>
      <c r="AK142" t="s">
        <v>490</v>
      </c>
      <c r="AL142" t="s">
        <v>490</v>
      </c>
      <c r="AM142" t="s">
        <v>490</v>
      </c>
      <c r="AN142" t="s">
        <v>489</v>
      </c>
      <c r="AO142" t="s">
        <v>490</v>
      </c>
      <c r="AP142" t="s">
        <v>490</v>
      </c>
      <c r="AQ142" t="s">
        <v>489</v>
      </c>
      <c r="AR142" t="s">
        <v>489</v>
      </c>
      <c r="AS142" t="s">
        <v>490</v>
      </c>
      <c r="AT142" t="s">
        <v>490</v>
      </c>
      <c r="AU142" t="s">
        <v>490</v>
      </c>
      <c r="AV142" t="s">
        <v>490</v>
      </c>
      <c r="AW142" t="s">
        <v>489</v>
      </c>
      <c r="AX142" t="s">
        <v>489</v>
      </c>
      <c r="AY142" t="s">
        <v>489</v>
      </c>
      <c r="AZ142" t="s">
        <v>490</v>
      </c>
      <c r="BA142" t="s">
        <v>489</v>
      </c>
      <c r="BB142" t="s">
        <v>489</v>
      </c>
      <c r="BC142" t="s">
        <v>490</v>
      </c>
      <c r="BD142" t="s">
        <v>489</v>
      </c>
      <c r="BE142" t="s">
        <v>489</v>
      </c>
      <c r="BF142" t="s">
        <v>490</v>
      </c>
      <c r="BG142" t="s">
        <v>490</v>
      </c>
      <c r="BH142" t="s">
        <v>490</v>
      </c>
      <c r="BI142" t="s">
        <v>489</v>
      </c>
      <c r="BJ142" t="s">
        <v>489</v>
      </c>
      <c r="BK142" t="s">
        <v>489</v>
      </c>
      <c r="BL142" t="s">
        <v>490</v>
      </c>
      <c r="BM142" t="s">
        <v>489</v>
      </c>
      <c r="BN142" t="s">
        <v>489</v>
      </c>
      <c r="BO142" t="s">
        <v>490</v>
      </c>
      <c r="BP142" t="s">
        <v>489</v>
      </c>
      <c r="BQ142" t="s">
        <v>489</v>
      </c>
      <c r="BR142" t="s">
        <v>490</v>
      </c>
      <c r="BS142" t="s">
        <v>490</v>
      </c>
      <c r="BT142" t="s">
        <v>490</v>
      </c>
      <c r="BU142" t="s">
        <v>489</v>
      </c>
      <c r="BV142" t="s">
        <v>490</v>
      </c>
      <c r="BW142" t="s">
        <v>490</v>
      </c>
      <c r="BX142" t="s">
        <v>489</v>
      </c>
      <c r="BY142" t="s">
        <v>489</v>
      </c>
      <c r="BZ142" t="s">
        <v>489</v>
      </c>
      <c r="CA142" t="s">
        <v>490</v>
      </c>
      <c r="EY142">
        <v>99</v>
      </c>
      <c r="EZ142">
        <v>5</v>
      </c>
      <c r="FA142">
        <v>20</v>
      </c>
      <c r="FB142" t="s">
        <v>543</v>
      </c>
      <c r="OH142" s="15">
        <v>10</v>
      </c>
      <c r="OI142" s="15">
        <v>5</v>
      </c>
      <c r="OJ142" s="15">
        <v>8</v>
      </c>
      <c r="OK142" s="15">
        <v>3</v>
      </c>
      <c r="OL142" s="15">
        <v>5</v>
      </c>
      <c r="OM142" s="15">
        <v>8</v>
      </c>
      <c r="ON142" s="15">
        <v>2</v>
      </c>
      <c r="OO142" s="15">
        <v>1</v>
      </c>
      <c r="OQ142" t="s">
        <v>488</v>
      </c>
      <c r="OR142" t="s">
        <v>488</v>
      </c>
      <c r="OY142">
        <v>100</v>
      </c>
      <c r="OZ142">
        <v>75</v>
      </c>
      <c r="PA142">
        <v>0</v>
      </c>
      <c r="PB142">
        <v>50</v>
      </c>
      <c r="PC142">
        <v>0</v>
      </c>
      <c r="PD142">
        <v>0</v>
      </c>
      <c r="PE142">
        <v>0</v>
      </c>
      <c r="PF142">
        <v>0</v>
      </c>
      <c r="PG142">
        <v>0</v>
      </c>
      <c r="PH142">
        <v>0</v>
      </c>
      <c r="PI142">
        <v>100</v>
      </c>
      <c r="PJ142">
        <v>85</v>
      </c>
      <c r="PK142">
        <v>0</v>
      </c>
      <c r="PL142">
        <v>30</v>
      </c>
      <c r="PM142">
        <v>0</v>
      </c>
      <c r="PN142">
        <v>0</v>
      </c>
      <c r="PO142">
        <v>0</v>
      </c>
      <c r="PP142">
        <v>0</v>
      </c>
      <c r="PQ142">
        <v>0</v>
      </c>
      <c r="PR142">
        <v>0</v>
      </c>
      <c r="PT142" t="s">
        <v>488</v>
      </c>
      <c r="PU142" t="s">
        <v>497</v>
      </c>
      <c r="PV142">
        <v>75000</v>
      </c>
      <c r="PW142">
        <v>75000</v>
      </c>
      <c r="PX142">
        <v>150000</v>
      </c>
      <c r="PY142" t="s">
        <v>493</v>
      </c>
      <c r="PZ142" t="s">
        <v>493</v>
      </c>
      <c r="QA142">
        <v>80</v>
      </c>
      <c r="QB142">
        <v>20</v>
      </c>
      <c r="QC142">
        <v>95</v>
      </c>
      <c r="QD142">
        <v>5</v>
      </c>
      <c r="QE142" t="s">
        <v>494</v>
      </c>
      <c r="QF142">
        <v>5</v>
      </c>
      <c r="QG142">
        <v>50</v>
      </c>
      <c r="QH142">
        <v>0</v>
      </c>
      <c r="QI142">
        <v>5</v>
      </c>
      <c r="QJ142">
        <v>20</v>
      </c>
      <c r="QK142">
        <v>2</v>
      </c>
      <c r="QL142">
        <v>18</v>
      </c>
      <c r="QM142">
        <v>0</v>
      </c>
      <c r="QN142">
        <v>0</v>
      </c>
      <c r="QP142">
        <v>25</v>
      </c>
      <c r="QQ142">
        <v>25</v>
      </c>
      <c r="QR142">
        <v>5</v>
      </c>
      <c r="QS142">
        <v>0</v>
      </c>
      <c r="QT142">
        <v>5</v>
      </c>
      <c r="QU142">
        <v>15</v>
      </c>
      <c r="QV142">
        <v>0</v>
      </c>
      <c r="QW142">
        <v>25</v>
      </c>
      <c r="QX142">
        <v>0</v>
      </c>
      <c r="QZ142">
        <v>1.5</v>
      </c>
      <c r="RA142">
        <v>0.7</v>
      </c>
      <c r="RB142" t="s">
        <v>489</v>
      </c>
      <c r="RC142" t="s">
        <v>490</v>
      </c>
      <c r="RD142" t="s">
        <v>489</v>
      </c>
      <c r="RE142" t="s">
        <v>490</v>
      </c>
      <c r="RF142" t="s">
        <v>489</v>
      </c>
      <c r="RG142" t="s">
        <v>490</v>
      </c>
      <c r="RH142" t="s">
        <v>489</v>
      </c>
      <c r="RI142" t="s">
        <v>490</v>
      </c>
      <c r="RJ142" t="s">
        <v>645</v>
      </c>
    </row>
    <row r="143" spans="1:486">
      <c r="A143">
        <v>11763</v>
      </c>
      <c r="B143" t="s">
        <v>485</v>
      </c>
      <c r="C143" t="s">
        <v>973</v>
      </c>
      <c r="D143" t="s">
        <v>495</v>
      </c>
      <c r="E143" t="s">
        <v>500</v>
      </c>
      <c r="F143" t="s">
        <v>496</v>
      </c>
      <c r="G143">
        <v>66</v>
      </c>
      <c r="H143" t="s">
        <v>488</v>
      </c>
      <c r="FB143" t="s">
        <v>543</v>
      </c>
      <c r="OH143" s="15">
        <v>0</v>
      </c>
      <c r="OI143" s="15">
        <v>0</v>
      </c>
      <c r="OJ143" s="15">
        <v>0</v>
      </c>
      <c r="OK143" s="15">
        <v>0</v>
      </c>
      <c r="OL143" s="15">
        <v>0</v>
      </c>
      <c r="OM143" s="15">
        <v>0</v>
      </c>
      <c r="ON143" s="15">
        <v>0</v>
      </c>
      <c r="OO143" s="15">
        <v>0</v>
      </c>
    </row>
    <row r="144" spans="1:486">
      <c r="A144">
        <v>1000083</v>
      </c>
      <c r="B144" t="s">
        <v>485</v>
      </c>
      <c r="C144" t="s">
        <v>973</v>
      </c>
      <c r="D144" t="s">
        <v>495</v>
      </c>
      <c r="E144" t="s">
        <v>500</v>
      </c>
      <c r="F144" t="s">
        <v>517</v>
      </c>
      <c r="G144">
        <v>170</v>
      </c>
      <c r="H144" t="s">
        <v>487</v>
      </c>
      <c r="I144" t="s">
        <v>487</v>
      </c>
      <c r="J144" t="s">
        <v>488</v>
      </c>
      <c r="K144" t="s">
        <v>488</v>
      </c>
      <c r="L144" t="s">
        <v>489</v>
      </c>
      <c r="M144" t="s">
        <v>489</v>
      </c>
      <c r="N144" t="s">
        <v>489</v>
      </c>
      <c r="O144" t="s">
        <v>489</v>
      </c>
      <c r="P144" t="s">
        <v>490</v>
      </c>
      <c r="Q144" t="s">
        <v>490</v>
      </c>
      <c r="R144" t="s">
        <v>490</v>
      </c>
      <c r="S144" t="s">
        <v>490</v>
      </c>
      <c r="T144" t="s">
        <v>489</v>
      </c>
      <c r="U144" t="s">
        <v>489</v>
      </c>
      <c r="V144" t="s">
        <v>490</v>
      </c>
      <c r="W144" t="s">
        <v>489</v>
      </c>
      <c r="X144" t="s">
        <v>489</v>
      </c>
      <c r="Y144" t="s">
        <v>490</v>
      </c>
      <c r="Z144" t="s">
        <v>490</v>
      </c>
      <c r="AA144" t="s">
        <v>490</v>
      </c>
      <c r="AB144" t="s">
        <v>489</v>
      </c>
      <c r="AC144" t="s">
        <v>489</v>
      </c>
      <c r="AD144" t="s">
        <v>489</v>
      </c>
      <c r="AE144" t="s">
        <v>490</v>
      </c>
      <c r="AF144" t="s">
        <v>489</v>
      </c>
      <c r="AG144" t="s">
        <v>490</v>
      </c>
      <c r="AH144" t="s">
        <v>490</v>
      </c>
      <c r="AI144" t="s">
        <v>489</v>
      </c>
      <c r="AJ144" t="s">
        <v>490</v>
      </c>
      <c r="AK144" t="s">
        <v>490</v>
      </c>
      <c r="AL144" t="s">
        <v>489</v>
      </c>
      <c r="AM144" t="s">
        <v>489</v>
      </c>
      <c r="AN144" t="s">
        <v>490</v>
      </c>
      <c r="AO144" t="s">
        <v>489</v>
      </c>
      <c r="AP144" t="s">
        <v>489</v>
      </c>
      <c r="AQ144" t="s">
        <v>490</v>
      </c>
      <c r="AR144" t="s">
        <v>489</v>
      </c>
      <c r="AS144" t="s">
        <v>489</v>
      </c>
      <c r="AT144" t="s">
        <v>490</v>
      </c>
      <c r="AU144" t="s">
        <v>490</v>
      </c>
      <c r="AV144" t="s">
        <v>490</v>
      </c>
      <c r="AW144" t="s">
        <v>489</v>
      </c>
      <c r="AX144" t="s">
        <v>489</v>
      </c>
      <c r="AY144" t="s">
        <v>489</v>
      </c>
      <c r="AZ144" t="s">
        <v>490</v>
      </c>
      <c r="BA144" t="s">
        <v>489</v>
      </c>
      <c r="BB144" t="s">
        <v>489</v>
      </c>
      <c r="BC144" t="s">
        <v>490</v>
      </c>
      <c r="BD144" t="s">
        <v>490</v>
      </c>
      <c r="BE144" t="s">
        <v>490</v>
      </c>
      <c r="BF144" t="s">
        <v>489</v>
      </c>
      <c r="BG144" t="s">
        <v>490</v>
      </c>
      <c r="BH144" t="s">
        <v>490</v>
      </c>
      <c r="BI144" t="s">
        <v>489</v>
      </c>
      <c r="BJ144" t="s">
        <v>490</v>
      </c>
      <c r="BK144" t="s">
        <v>490</v>
      </c>
      <c r="BL144" t="s">
        <v>489</v>
      </c>
      <c r="BM144" t="s">
        <v>490</v>
      </c>
      <c r="BN144" t="s">
        <v>490</v>
      </c>
      <c r="BO144" t="s">
        <v>489</v>
      </c>
      <c r="BP144" t="s">
        <v>489</v>
      </c>
      <c r="BQ144" t="s">
        <v>490</v>
      </c>
      <c r="BR144" t="s">
        <v>490</v>
      </c>
      <c r="BS144" t="s">
        <v>490</v>
      </c>
      <c r="BT144" t="s">
        <v>490</v>
      </c>
      <c r="BU144" t="s">
        <v>489</v>
      </c>
      <c r="BV144" t="s">
        <v>490</v>
      </c>
      <c r="BW144" t="s">
        <v>490</v>
      </c>
      <c r="BX144" t="s">
        <v>489</v>
      </c>
      <c r="BY144" t="s">
        <v>489</v>
      </c>
      <c r="BZ144" t="s">
        <v>489</v>
      </c>
      <c r="CA144" t="s">
        <v>490</v>
      </c>
      <c r="CB144" t="s">
        <v>489</v>
      </c>
      <c r="CC144" t="s">
        <v>490</v>
      </c>
      <c r="CD144" t="s">
        <v>490</v>
      </c>
      <c r="CE144" t="s">
        <v>490</v>
      </c>
      <c r="CF144" t="s">
        <v>490</v>
      </c>
      <c r="CG144" t="s">
        <v>489</v>
      </c>
      <c r="CH144" t="s">
        <v>490</v>
      </c>
      <c r="CI144" t="s">
        <v>490</v>
      </c>
      <c r="CJ144" t="s">
        <v>489</v>
      </c>
      <c r="CK144" t="s">
        <v>490</v>
      </c>
      <c r="CL144" t="s">
        <v>490</v>
      </c>
      <c r="CM144" t="s">
        <v>489</v>
      </c>
      <c r="CN144" t="s">
        <v>490</v>
      </c>
      <c r="CO144" t="s">
        <v>490</v>
      </c>
      <c r="CP144" t="s">
        <v>489</v>
      </c>
      <c r="EY144">
        <v>75</v>
      </c>
      <c r="EZ144">
        <v>15</v>
      </c>
      <c r="FA144">
        <v>85</v>
      </c>
      <c r="FB144" t="s">
        <v>543</v>
      </c>
      <c r="OH144" s="15">
        <v>8</v>
      </c>
      <c r="OI144" s="15">
        <v>6</v>
      </c>
      <c r="OJ144" s="15">
        <v>8</v>
      </c>
      <c r="OK144" s="15">
        <v>3</v>
      </c>
      <c r="OL144" s="15">
        <v>8</v>
      </c>
      <c r="OM144" s="15">
        <v>10</v>
      </c>
      <c r="ON144" s="15">
        <v>7</v>
      </c>
      <c r="OO144" s="15">
        <v>7</v>
      </c>
      <c r="OQ144" t="s">
        <v>488</v>
      </c>
      <c r="OR144" t="s">
        <v>488</v>
      </c>
      <c r="OY144">
        <v>0</v>
      </c>
      <c r="OZ144">
        <v>60</v>
      </c>
      <c r="PA144">
        <v>0</v>
      </c>
      <c r="PB144">
        <v>0</v>
      </c>
      <c r="PC144">
        <v>0</v>
      </c>
      <c r="PD144">
        <v>0</v>
      </c>
      <c r="PE144">
        <v>0</v>
      </c>
      <c r="PF144">
        <v>0</v>
      </c>
      <c r="PG144">
        <v>0</v>
      </c>
      <c r="PH144">
        <v>0</v>
      </c>
      <c r="PI144">
        <v>0</v>
      </c>
      <c r="PJ144">
        <v>100</v>
      </c>
      <c r="PK144">
        <v>0</v>
      </c>
      <c r="PL144">
        <v>0</v>
      </c>
      <c r="PM144">
        <v>0</v>
      </c>
      <c r="PN144">
        <v>0</v>
      </c>
      <c r="PO144">
        <v>0</v>
      </c>
      <c r="PP144">
        <v>0</v>
      </c>
      <c r="PQ144">
        <v>0</v>
      </c>
      <c r="PR144">
        <v>0</v>
      </c>
      <c r="PT144" t="s">
        <v>488</v>
      </c>
      <c r="PU144" t="s">
        <v>497</v>
      </c>
      <c r="PV144">
        <v>3000</v>
      </c>
      <c r="PW144">
        <v>15000</v>
      </c>
      <c r="PX144">
        <v>18000</v>
      </c>
      <c r="PY144" t="s">
        <v>493</v>
      </c>
      <c r="PZ144" t="s">
        <v>493</v>
      </c>
      <c r="QA144">
        <v>30</v>
      </c>
      <c r="QB144">
        <v>70</v>
      </c>
      <c r="QC144">
        <v>20</v>
      </c>
      <c r="QD144">
        <v>80</v>
      </c>
      <c r="QE144" t="s">
        <v>494</v>
      </c>
      <c r="QF144">
        <v>10</v>
      </c>
      <c r="QG144">
        <v>10</v>
      </c>
      <c r="QH144">
        <v>0</v>
      </c>
      <c r="QI144">
        <v>5</v>
      </c>
      <c r="QJ144">
        <v>25</v>
      </c>
      <c r="QK144">
        <v>0</v>
      </c>
      <c r="QL144">
        <v>25</v>
      </c>
      <c r="QM144">
        <v>25</v>
      </c>
      <c r="QN144">
        <v>0</v>
      </c>
      <c r="QP144">
        <v>10</v>
      </c>
      <c r="QQ144">
        <v>5</v>
      </c>
      <c r="QR144">
        <v>10</v>
      </c>
      <c r="QS144">
        <v>30</v>
      </c>
      <c r="QT144">
        <v>30</v>
      </c>
      <c r="QU144">
        <v>10</v>
      </c>
      <c r="QV144">
        <v>0</v>
      </c>
      <c r="QW144">
        <v>5</v>
      </c>
      <c r="QX144">
        <v>0</v>
      </c>
      <c r="QZ144">
        <v>1</v>
      </c>
      <c r="RA144">
        <v>0</v>
      </c>
      <c r="RB144" t="s">
        <v>489</v>
      </c>
      <c r="RC144" t="s">
        <v>490</v>
      </c>
      <c r="RD144" t="s">
        <v>489</v>
      </c>
      <c r="RE144" t="s">
        <v>490</v>
      </c>
      <c r="RF144" t="s">
        <v>490</v>
      </c>
      <c r="RG144" t="s">
        <v>490</v>
      </c>
      <c r="RH144" t="s">
        <v>490</v>
      </c>
      <c r="RI144" t="s">
        <v>490</v>
      </c>
      <c r="RL144" t="s">
        <v>627</v>
      </c>
      <c r="RR144" t="s">
        <v>628</v>
      </c>
    </row>
    <row r="145" spans="1:486">
      <c r="A145">
        <v>1003377</v>
      </c>
      <c r="B145" t="s">
        <v>485</v>
      </c>
      <c r="C145" t="s">
        <v>973</v>
      </c>
      <c r="D145" t="s">
        <v>513</v>
      </c>
      <c r="E145" t="s">
        <v>500</v>
      </c>
      <c r="F145" t="s">
        <v>496</v>
      </c>
      <c r="G145">
        <v>45</v>
      </c>
      <c r="H145" t="s">
        <v>487</v>
      </c>
      <c r="I145" t="s">
        <v>487</v>
      </c>
      <c r="J145" t="s">
        <v>487</v>
      </c>
      <c r="K145" t="s">
        <v>487</v>
      </c>
      <c r="L145" t="s">
        <v>489</v>
      </c>
      <c r="M145" t="s">
        <v>489</v>
      </c>
      <c r="N145" t="s">
        <v>489</v>
      </c>
      <c r="O145" t="s">
        <v>490</v>
      </c>
      <c r="P145" t="s">
        <v>490</v>
      </c>
      <c r="Q145" t="s">
        <v>490</v>
      </c>
      <c r="R145" t="s">
        <v>489</v>
      </c>
      <c r="S145" t="s">
        <v>489</v>
      </c>
      <c r="T145" t="s">
        <v>489</v>
      </c>
      <c r="U145" t="s">
        <v>489</v>
      </c>
      <c r="V145" t="s">
        <v>490</v>
      </c>
      <c r="W145" t="s">
        <v>489</v>
      </c>
      <c r="X145" t="s">
        <v>489</v>
      </c>
      <c r="Y145" t="s">
        <v>490</v>
      </c>
      <c r="Z145" t="s">
        <v>490</v>
      </c>
      <c r="AA145" t="s">
        <v>490</v>
      </c>
      <c r="AB145" t="s">
        <v>489</v>
      </c>
      <c r="AC145" t="s">
        <v>489</v>
      </c>
      <c r="AD145" t="s">
        <v>489</v>
      </c>
      <c r="AE145" t="s">
        <v>490</v>
      </c>
      <c r="AF145" t="s">
        <v>489</v>
      </c>
      <c r="AG145" t="s">
        <v>489</v>
      </c>
      <c r="AH145" t="s">
        <v>490</v>
      </c>
      <c r="AI145" t="s">
        <v>489</v>
      </c>
      <c r="AJ145" t="s">
        <v>489</v>
      </c>
      <c r="AK145" t="s">
        <v>490</v>
      </c>
      <c r="AL145" t="s">
        <v>490</v>
      </c>
      <c r="AM145" t="s">
        <v>490</v>
      </c>
      <c r="AN145" t="s">
        <v>489</v>
      </c>
      <c r="AO145" t="s">
        <v>489</v>
      </c>
      <c r="AP145" t="s">
        <v>490</v>
      </c>
      <c r="AQ145" t="s">
        <v>490</v>
      </c>
      <c r="AR145" t="s">
        <v>489</v>
      </c>
      <c r="AS145" t="s">
        <v>490</v>
      </c>
      <c r="AT145" t="s">
        <v>490</v>
      </c>
      <c r="AU145" t="s">
        <v>490</v>
      </c>
      <c r="AV145" t="s">
        <v>490</v>
      </c>
      <c r="AW145" t="s">
        <v>489</v>
      </c>
      <c r="AX145" t="s">
        <v>489</v>
      </c>
      <c r="AY145" t="s">
        <v>489</v>
      </c>
      <c r="AZ145" t="s">
        <v>490</v>
      </c>
      <c r="BA145" t="s">
        <v>489</v>
      </c>
      <c r="BB145" t="s">
        <v>489</v>
      </c>
      <c r="BC145" t="s">
        <v>490</v>
      </c>
      <c r="BD145" t="s">
        <v>489</v>
      </c>
      <c r="BE145" t="s">
        <v>489</v>
      </c>
      <c r="BF145" t="s">
        <v>490</v>
      </c>
      <c r="BG145" t="s">
        <v>489</v>
      </c>
      <c r="BH145" t="s">
        <v>490</v>
      </c>
      <c r="BI145" t="s">
        <v>490</v>
      </c>
      <c r="BJ145" t="s">
        <v>489</v>
      </c>
      <c r="BK145" t="s">
        <v>489</v>
      </c>
      <c r="BL145" t="s">
        <v>490</v>
      </c>
      <c r="BM145" t="s">
        <v>489</v>
      </c>
      <c r="BN145" t="s">
        <v>489</v>
      </c>
      <c r="BO145" t="s">
        <v>490</v>
      </c>
      <c r="BP145" t="s">
        <v>490</v>
      </c>
      <c r="BQ145" t="s">
        <v>490</v>
      </c>
      <c r="BR145" t="s">
        <v>489</v>
      </c>
      <c r="BS145" t="s">
        <v>490</v>
      </c>
      <c r="BT145" t="s">
        <v>490</v>
      </c>
      <c r="BU145" t="s">
        <v>489</v>
      </c>
      <c r="BV145" t="s">
        <v>490</v>
      </c>
      <c r="BW145" t="s">
        <v>490</v>
      </c>
      <c r="BX145" t="s">
        <v>489</v>
      </c>
      <c r="BY145" t="s">
        <v>489</v>
      </c>
      <c r="BZ145" t="s">
        <v>489</v>
      </c>
      <c r="CA145" t="s">
        <v>490</v>
      </c>
      <c r="DI145" t="s">
        <v>489</v>
      </c>
      <c r="DJ145" t="s">
        <v>489</v>
      </c>
      <c r="DK145" t="s">
        <v>490</v>
      </c>
      <c r="DL145" t="s">
        <v>489</v>
      </c>
      <c r="DM145" t="s">
        <v>489</v>
      </c>
      <c r="DN145" t="s">
        <v>490</v>
      </c>
      <c r="DO145" t="s">
        <v>490</v>
      </c>
      <c r="DP145" t="s">
        <v>490</v>
      </c>
      <c r="DQ145" t="s">
        <v>489</v>
      </c>
      <c r="DR145" t="s">
        <v>489</v>
      </c>
      <c r="DS145" t="s">
        <v>489</v>
      </c>
      <c r="DT145" t="s">
        <v>490</v>
      </c>
      <c r="DU145" t="s">
        <v>489</v>
      </c>
      <c r="DV145" t="s">
        <v>489</v>
      </c>
      <c r="DW145" t="s">
        <v>490</v>
      </c>
      <c r="DX145" t="s">
        <v>490</v>
      </c>
      <c r="DY145" t="s">
        <v>490</v>
      </c>
      <c r="DZ145" t="s">
        <v>489</v>
      </c>
      <c r="EA145" t="s">
        <v>490</v>
      </c>
      <c r="EB145" t="s">
        <v>489</v>
      </c>
      <c r="EC145" t="s">
        <v>490</v>
      </c>
      <c r="ED145" t="s">
        <v>490</v>
      </c>
      <c r="EE145" t="s">
        <v>490</v>
      </c>
      <c r="EF145" t="s">
        <v>489</v>
      </c>
      <c r="EG145" t="s">
        <v>490</v>
      </c>
      <c r="EH145" t="s">
        <v>490</v>
      </c>
      <c r="EI145" t="s">
        <v>489</v>
      </c>
      <c r="EJ145" t="s">
        <v>490</v>
      </c>
      <c r="EK145" t="s">
        <v>489</v>
      </c>
      <c r="EL145" t="s">
        <v>490</v>
      </c>
      <c r="EM145" t="s">
        <v>490</v>
      </c>
      <c r="EN145" t="s">
        <v>490</v>
      </c>
      <c r="EO145" t="s">
        <v>489</v>
      </c>
      <c r="EP145" t="s">
        <v>490</v>
      </c>
      <c r="EQ145" t="s">
        <v>490</v>
      </c>
      <c r="ER145" t="s">
        <v>489</v>
      </c>
      <c r="ES145" t="s">
        <v>490</v>
      </c>
      <c r="ET145" t="s">
        <v>489</v>
      </c>
      <c r="EU145" t="s">
        <v>490</v>
      </c>
      <c r="EV145" t="s">
        <v>490</v>
      </c>
      <c r="EW145" t="s">
        <v>490</v>
      </c>
      <c r="EX145" t="s">
        <v>489</v>
      </c>
      <c r="EY145">
        <v>99</v>
      </c>
      <c r="EZ145">
        <v>3</v>
      </c>
      <c r="FA145">
        <v>15</v>
      </c>
      <c r="FB145" t="s">
        <v>491</v>
      </c>
      <c r="FC145">
        <v>15000</v>
      </c>
      <c r="FD145">
        <v>15000</v>
      </c>
      <c r="FE145">
        <v>600000</v>
      </c>
      <c r="FF145">
        <v>600000</v>
      </c>
      <c r="FI145">
        <v>1000</v>
      </c>
      <c r="FJ145">
        <v>1000</v>
      </c>
      <c r="FK145">
        <v>500</v>
      </c>
      <c r="FL145">
        <v>10000</v>
      </c>
      <c r="FM145">
        <v>8500</v>
      </c>
      <c r="FN145">
        <v>120000</v>
      </c>
      <c r="FQ145">
        <v>700</v>
      </c>
      <c r="FR145">
        <v>700</v>
      </c>
      <c r="FZ145">
        <v>30</v>
      </c>
      <c r="GA145">
        <v>3</v>
      </c>
      <c r="GB145">
        <v>0</v>
      </c>
      <c r="GD145">
        <v>0</v>
      </c>
      <c r="GG145">
        <v>2</v>
      </c>
      <c r="GH145">
        <v>98</v>
      </c>
      <c r="GI145">
        <v>0</v>
      </c>
      <c r="GJ145">
        <v>2</v>
      </c>
      <c r="GK145">
        <v>13</v>
      </c>
      <c r="GL145">
        <v>85</v>
      </c>
      <c r="GP145">
        <v>3</v>
      </c>
      <c r="GQ145">
        <v>10</v>
      </c>
      <c r="GR145">
        <v>87</v>
      </c>
      <c r="GS145">
        <v>2</v>
      </c>
      <c r="GT145">
        <v>13</v>
      </c>
      <c r="GU145">
        <v>85</v>
      </c>
      <c r="GV145">
        <v>2</v>
      </c>
      <c r="GW145">
        <v>13</v>
      </c>
      <c r="GX145">
        <v>85</v>
      </c>
      <c r="HB145">
        <v>3</v>
      </c>
      <c r="HC145">
        <v>97</v>
      </c>
      <c r="HD145">
        <v>0</v>
      </c>
      <c r="HE145">
        <v>0</v>
      </c>
      <c r="HF145">
        <v>0</v>
      </c>
      <c r="HG145">
        <v>100</v>
      </c>
      <c r="HK145">
        <v>1000</v>
      </c>
      <c r="HL145">
        <v>200</v>
      </c>
      <c r="HM145">
        <v>12000</v>
      </c>
      <c r="HN145">
        <v>1000</v>
      </c>
      <c r="HO145">
        <v>120000</v>
      </c>
      <c r="HP145">
        <v>500</v>
      </c>
      <c r="HS145">
        <v>1000</v>
      </c>
      <c r="HT145">
        <v>200</v>
      </c>
      <c r="HU145">
        <v>12000</v>
      </c>
      <c r="HV145">
        <v>1000</v>
      </c>
      <c r="HW145">
        <v>120000</v>
      </c>
      <c r="HX145">
        <v>500</v>
      </c>
      <c r="IA145">
        <v>0</v>
      </c>
      <c r="IC145">
        <v>0</v>
      </c>
      <c r="ID145">
        <v>0</v>
      </c>
      <c r="IE145">
        <v>5000</v>
      </c>
      <c r="IF145">
        <v>0</v>
      </c>
      <c r="II145">
        <v>100</v>
      </c>
      <c r="IJ145">
        <v>0</v>
      </c>
      <c r="IK145">
        <v>0</v>
      </c>
      <c r="IL145">
        <v>100</v>
      </c>
      <c r="IM145">
        <v>0</v>
      </c>
      <c r="IN145">
        <v>0</v>
      </c>
      <c r="IO145">
        <v>100</v>
      </c>
      <c r="IP145">
        <v>0</v>
      </c>
      <c r="IQ145">
        <v>0</v>
      </c>
      <c r="IR145">
        <v>100</v>
      </c>
      <c r="IS145">
        <v>0</v>
      </c>
      <c r="IT145">
        <v>0</v>
      </c>
      <c r="IU145">
        <v>100</v>
      </c>
      <c r="IV145">
        <v>0</v>
      </c>
      <c r="IW145">
        <v>0</v>
      </c>
      <c r="IX145">
        <v>100</v>
      </c>
      <c r="IY145">
        <v>0</v>
      </c>
      <c r="IZ145">
        <v>0</v>
      </c>
      <c r="JI145">
        <v>300</v>
      </c>
      <c r="JM145">
        <v>500</v>
      </c>
      <c r="JQ145">
        <v>0</v>
      </c>
      <c r="JY145">
        <v>2</v>
      </c>
      <c r="JZ145">
        <v>98</v>
      </c>
      <c r="KA145">
        <v>0</v>
      </c>
      <c r="MH145">
        <v>13000</v>
      </c>
      <c r="MI145">
        <v>3000</v>
      </c>
      <c r="MK145">
        <v>5000</v>
      </c>
      <c r="ML145">
        <v>4000</v>
      </c>
      <c r="MN145">
        <v>13000</v>
      </c>
      <c r="MO145">
        <v>3000</v>
      </c>
      <c r="MQ145">
        <v>5000</v>
      </c>
      <c r="MR145">
        <v>3000</v>
      </c>
      <c r="MT145">
        <v>0</v>
      </c>
      <c r="MU145">
        <v>2800</v>
      </c>
      <c r="MW145">
        <v>4000</v>
      </c>
      <c r="MX145">
        <v>50</v>
      </c>
      <c r="MZ145">
        <v>600000</v>
      </c>
      <c r="NC145">
        <v>20</v>
      </c>
      <c r="NG145">
        <v>5</v>
      </c>
      <c r="NH145">
        <v>200000</v>
      </c>
      <c r="NK145">
        <v>20</v>
      </c>
      <c r="NN145">
        <v>5</v>
      </c>
      <c r="NP145">
        <v>20</v>
      </c>
      <c r="NQ145">
        <v>10</v>
      </c>
      <c r="NR145">
        <v>70</v>
      </c>
      <c r="NS145">
        <v>80</v>
      </c>
      <c r="NT145">
        <v>20</v>
      </c>
      <c r="NU145">
        <v>0</v>
      </c>
      <c r="NY145">
        <v>80</v>
      </c>
      <c r="NZ145">
        <v>20</v>
      </c>
      <c r="OA145">
        <v>0</v>
      </c>
      <c r="OB145">
        <v>2</v>
      </c>
      <c r="OC145">
        <v>10</v>
      </c>
      <c r="OD145">
        <v>88</v>
      </c>
      <c r="OH145" s="15">
        <v>10</v>
      </c>
      <c r="OI145" s="15">
        <v>7</v>
      </c>
      <c r="OJ145" s="15">
        <v>9</v>
      </c>
      <c r="OK145" s="15">
        <v>7</v>
      </c>
      <c r="OL145" s="15">
        <v>6</v>
      </c>
      <c r="OM145" s="15">
        <v>9</v>
      </c>
      <c r="ON145" s="15">
        <v>3</v>
      </c>
      <c r="OO145" s="15">
        <v>1</v>
      </c>
      <c r="OQ145" t="s">
        <v>487</v>
      </c>
      <c r="OR145" t="s">
        <v>487</v>
      </c>
      <c r="OS145" t="s">
        <v>489</v>
      </c>
      <c r="OT145" t="s">
        <v>489</v>
      </c>
      <c r="OU145" t="s">
        <v>490</v>
      </c>
      <c r="OV145" t="s">
        <v>490</v>
      </c>
      <c r="OW145" t="s">
        <v>490</v>
      </c>
      <c r="OY145">
        <v>100</v>
      </c>
      <c r="OZ145">
        <v>60</v>
      </c>
      <c r="PA145">
        <v>0</v>
      </c>
      <c r="PB145">
        <v>2</v>
      </c>
      <c r="PC145">
        <v>0</v>
      </c>
      <c r="PD145">
        <v>1</v>
      </c>
      <c r="PE145">
        <v>1</v>
      </c>
      <c r="PF145">
        <v>60</v>
      </c>
      <c r="PG145">
        <v>60</v>
      </c>
      <c r="PH145">
        <v>0</v>
      </c>
      <c r="PI145">
        <v>100</v>
      </c>
      <c r="PJ145">
        <v>62</v>
      </c>
      <c r="PK145">
        <v>62</v>
      </c>
      <c r="PL145">
        <v>62</v>
      </c>
      <c r="PM145">
        <v>0</v>
      </c>
      <c r="PN145">
        <v>15</v>
      </c>
      <c r="PO145">
        <v>2</v>
      </c>
      <c r="PP145">
        <v>62</v>
      </c>
      <c r="PQ145">
        <v>62</v>
      </c>
      <c r="PR145">
        <v>0</v>
      </c>
      <c r="PT145" t="s">
        <v>487</v>
      </c>
      <c r="PU145" t="s">
        <v>512</v>
      </c>
      <c r="PV145">
        <v>30000</v>
      </c>
      <c r="PW145">
        <v>30000</v>
      </c>
      <c r="PX145">
        <v>60000</v>
      </c>
      <c r="PY145" t="s">
        <v>493</v>
      </c>
      <c r="PZ145" t="s">
        <v>493</v>
      </c>
      <c r="QA145">
        <v>40</v>
      </c>
      <c r="QB145">
        <v>60</v>
      </c>
      <c r="QC145">
        <v>40</v>
      </c>
      <c r="QD145">
        <v>60</v>
      </c>
      <c r="QE145" t="s">
        <v>494</v>
      </c>
      <c r="QF145">
        <v>5</v>
      </c>
      <c r="QG145">
        <v>5</v>
      </c>
      <c r="QH145">
        <v>1</v>
      </c>
      <c r="QI145">
        <v>2</v>
      </c>
      <c r="QJ145">
        <v>30</v>
      </c>
      <c r="QK145">
        <v>1</v>
      </c>
      <c r="QL145">
        <v>50</v>
      </c>
      <c r="QM145">
        <v>5</v>
      </c>
      <c r="QN145">
        <v>1</v>
      </c>
      <c r="QP145">
        <v>30</v>
      </c>
      <c r="QQ145">
        <v>10</v>
      </c>
      <c r="QR145">
        <v>3</v>
      </c>
      <c r="QS145">
        <v>5</v>
      </c>
      <c r="QT145">
        <v>5</v>
      </c>
      <c r="QU145">
        <v>1</v>
      </c>
      <c r="QV145">
        <v>2</v>
      </c>
      <c r="QW145">
        <v>40</v>
      </c>
      <c r="QX145">
        <v>4</v>
      </c>
      <c r="QZ145">
        <v>7</v>
      </c>
      <c r="RA145">
        <v>0</v>
      </c>
      <c r="RB145" t="s">
        <v>489</v>
      </c>
      <c r="RC145" t="s">
        <v>490</v>
      </c>
      <c r="RD145" t="s">
        <v>489</v>
      </c>
      <c r="RE145" t="s">
        <v>490</v>
      </c>
      <c r="RF145" t="s">
        <v>490</v>
      </c>
      <c r="RG145" t="s">
        <v>490</v>
      </c>
      <c r="RH145" t="s">
        <v>489</v>
      </c>
      <c r="RI145" t="s">
        <v>490</v>
      </c>
      <c r="RR145" t="s">
        <v>514</v>
      </c>
    </row>
  </sheetData>
  <sortState ref="B3:G145">
    <sortCondition ref="C3:C145"/>
    <sortCondition ref="G3:G145"/>
  </sortState>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E147"/>
  <sheetViews>
    <sheetView workbookViewId="0"/>
  </sheetViews>
  <sheetFormatPr defaultRowHeight="14.4"/>
  <cols>
    <col min="1" max="1" width="20.33203125" customWidth="1"/>
    <col min="2" max="2" width="12" customWidth="1"/>
    <col min="3" max="3" width="8.6640625" customWidth="1"/>
    <col min="4" max="4" width="2.5546875" customWidth="1"/>
    <col min="5" max="5" width="7.44140625" customWidth="1"/>
    <col min="6" max="6" width="7.6640625" customWidth="1"/>
    <col min="7" max="7" width="2.88671875" customWidth="1"/>
    <col min="8" max="8" width="7.5546875" customWidth="1"/>
    <col min="9" max="9" width="7.6640625" customWidth="1"/>
    <col min="10" max="10" width="2.44140625" customWidth="1"/>
    <col min="11" max="11" width="7.88671875" customWidth="1"/>
    <col min="12" max="12" width="8.44140625" customWidth="1"/>
    <col min="13" max="13" width="2.109375" customWidth="1"/>
    <col min="14" max="14" width="8.109375" customWidth="1"/>
    <col min="15" max="15" width="6.6640625" customWidth="1"/>
    <col min="16" max="16" width="2.44140625" customWidth="1"/>
    <col min="17" max="17" width="7.6640625" customWidth="1"/>
    <col min="18" max="18" width="8" customWidth="1"/>
    <col min="19" max="19" width="2.44140625" customWidth="1"/>
    <col min="22" max="22" width="2.109375" customWidth="1"/>
    <col min="23" max="23" width="8.44140625" customWidth="1"/>
    <col min="24" max="24" width="7.44140625" customWidth="1"/>
    <col min="25" max="25" width="12.5546875" customWidth="1"/>
  </cols>
  <sheetData>
    <row r="1" spans="1:25">
      <c r="A1" s="3" t="s">
        <v>1304</v>
      </c>
    </row>
    <row r="2" spans="1:25">
      <c r="A2" t="s">
        <v>1305</v>
      </c>
    </row>
    <row r="4" spans="1:25">
      <c r="A4" t="s">
        <v>1216</v>
      </c>
    </row>
    <row r="5" spans="1:25">
      <c r="B5" t="s">
        <v>676</v>
      </c>
      <c r="C5" t="s">
        <v>665</v>
      </c>
      <c r="D5" t="s">
        <v>666</v>
      </c>
      <c r="E5" t="s">
        <v>677</v>
      </c>
      <c r="F5" t="s">
        <v>665</v>
      </c>
      <c r="G5" t="s">
        <v>666</v>
      </c>
      <c r="H5" t="s">
        <v>678</v>
      </c>
      <c r="I5" t="s">
        <v>665</v>
      </c>
      <c r="J5" t="s">
        <v>666</v>
      </c>
      <c r="K5" t="s">
        <v>679</v>
      </c>
      <c r="L5" t="s">
        <v>665</v>
      </c>
      <c r="M5" t="s">
        <v>666</v>
      </c>
      <c r="N5" t="s">
        <v>680</v>
      </c>
      <c r="O5" t="s">
        <v>665</v>
      </c>
      <c r="P5" t="s">
        <v>666</v>
      </c>
      <c r="Q5" t="s">
        <v>681</v>
      </c>
      <c r="R5" t="s">
        <v>665</v>
      </c>
      <c r="S5" t="s">
        <v>666</v>
      </c>
      <c r="T5" t="s">
        <v>682</v>
      </c>
      <c r="U5" t="s">
        <v>665</v>
      </c>
      <c r="V5" t="s">
        <v>666</v>
      </c>
      <c r="W5" t="s">
        <v>683</v>
      </c>
      <c r="X5" t="s">
        <v>665</v>
      </c>
      <c r="Y5" t="s">
        <v>666</v>
      </c>
    </row>
    <row r="6" spans="1:25">
      <c r="A6" t="s">
        <v>973</v>
      </c>
      <c r="B6" t="s">
        <v>489</v>
      </c>
      <c r="C6" t="s">
        <v>489</v>
      </c>
      <c r="D6" t="s">
        <v>490</v>
      </c>
      <c r="E6" t="s">
        <v>489</v>
      </c>
      <c r="F6" t="s">
        <v>489</v>
      </c>
      <c r="G6" t="s">
        <v>490</v>
      </c>
      <c r="H6" t="s">
        <v>489</v>
      </c>
      <c r="I6" t="s">
        <v>489</v>
      </c>
      <c r="J6" t="s">
        <v>490</v>
      </c>
      <c r="K6" t="s">
        <v>489</v>
      </c>
      <c r="L6" t="s">
        <v>489</v>
      </c>
      <c r="M6" t="s">
        <v>490</v>
      </c>
      <c r="N6" t="s">
        <v>489</v>
      </c>
      <c r="O6" t="s">
        <v>489</v>
      </c>
      <c r="P6" t="s">
        <v>490</v>
      </c>
      <c r="Q6" t="s">
        <v>489</v>
      </c>
      <c r="R6" t="s">
        <v>489</v>
      </c>
      <c r="S6" t="s">
        <v>490</v>
      </c>
      <c r="T6" t="s">
        <v>489</v>
      </c>
      <c r="U6" t="s">
        <v>489</v>
      </c>
      <c r="V6" t="s">
        <v>490</v>
      </c>
      <c r="W6" t="s">
        <v>489</v>
      </c>
      <c r="X6" t="s">
        <v>489</v>
      </c>
      <c r="Y6" t="s">
        <v>490</v>
      </c>
    </row>
    <row r="7" spans="1:25">
      <c r="A7" t="s">
        <v>972</v>
      </c>
      <c r="B7" t="s">
        <v>489</v>
      </c>
      <c r="C7" t="s">
        <v>489</v>
      </c>
      <c r="D7" t="s">
        <v>490</v>
      </c>
      <c r="E7" t="s">
        <v>489</v>
      </c>
      <c r="F7" t="s">
        <v>489</v>
      </c>
      <c r="G7" t="s">
        <v>490</v>
      </c>
      <c r="H7" t="s">
        <v>489</v>
      </c>
      <c r="I7" t="s">
        <v>489</v>
      </c>
      <c r="J7" t="s">
        <v>490</v>
      </c>
      <c r="K7" t="s">
        <v>489</v>
      </c>
      <c r="L7" t="s">
        <v>489</v>
      </c>
      <c r="M7" t="s">
        <v>490</v>
      </c>
      <c r="N7" t="s">
        <v>489</v>
      </c>
      <c r="O7" t="s">
        <v>489</v>
      </c>
      <c r="P7" t="s">
        <v>490</v>
      </c>
      <c r="Q7" t="s">
        <v>489</v>
      </c>
      <c r="R7" t="s">
        <v>489</v>
      </c>
      <c r="S7" t="s">
        <v>490</v>
      </c>
      <c r="T7" t="s">
        <v>489</v>
      </c>
      <c r="U7" t="s">
        <v>489</v>
      </c>
      <c r="V7" t="s">
        <v>490</v>
      </c>
      <c r="W7" t="s">
        <v>489</v>
      </c>
      <c r="X7" t="s">
        <v>489</v>
      </c>
      <c r="Y7" t="s">
        <v>490</v>
      </c>
    </row>
    <row r="8" spans="1:25">
      <c r="A8" t="s">
        <v>972</v>
      </c>
      <c r="B8" t="s">
        <v>489</v>
      </c>
      <c r="C8" t="s">
        <v>489</v>
      </c>
      <c r="D8" t="s">
        <v>490</v>
      </c>
      <c r="E8" t="s">
        <v>489</v>
      </c>
      <c r="F8" t="s">
        <v>489</v>
      </c>
      <c r="G8" t="s">
        <v>490</v>
      </c>
      <c r="H8" t="s">
        <v>489</v>
      </c>
      <c r="I8" t="s">
        <v>489</v>
      </c>
      <c r="J8" t="s">
        <v>490</v>
      </c>
      <c r="K8" t="s">
        <v>489</v>
      </c>
      <c r="L8" t="s">
        <v>489</v>
      </c>
      <c r="M8" t="s">
        <v>490</v>
      </c>
      <c r="N8" t="s">
        <v>489</v>
      </c>
      <c r="O8" t="s">
        <v>489</v>
      </c>
      <c r="P8" t="s">
        <v>490</v>
      </c>
      <c r="Q8" t="s">
        <v>489</v>
      </c>
      <c r="R8" t="s">
        <v>489</v>
      </c>
      <c r="S8" t="s">
        <v>490</v>
      </c>
      <c r="T8" t="s">
        <v>489</v>
      </c>
      <c r="U8" t="s">
        <v>489</v>
      </c>
      <c r="V8" t="s">
        <v>490</v>
      </c>
      <c r="W8" t="s">
        <v>489</v>
      </c>
      <c r="X8" t="s">
        <v>489</v>
      </c>
      <c r="Y8" t="s">
        <v>490</v>
      </c>
    </row>
    <row r="9" spans="1:25">
      <c r="A9" t="s">
        <v>974</v>
      </c>
      <c r="B9" t="s">
        <v>489</v>
      </c>
      <c r="C9" t="s">
        <v>489</v>
      </c>
      <c r="D9" t="s">
        <v>490</v>
      </c>
      <c r="E9" t="s">
        <v>489</v>
      </c>
      <c r="F9" t="s">
        <v>489</v>
      </c>
      <c r="G9" t="s">
        <v>490</v>
      </c>
      <c r="H9" t="s">
        <v>489</v>
      </c>
      <c r="I9" t="s">
        <v>489</v>
      </c>
      <c r="J9" t="s">
        <v>490</v>
      </c>
      <c r="K9" t="s">
        <v>489</v>
      </c>
      <c r="L9" t="s">
        <v>489</v>
      </c>
      <c r="M9" t="s">
        <v>490</v>
      </c>
      <c r="N9" t="s">
        <v>489</v>
      </c>
      <c r="O9" t="s">
        <v>489</v>
      </c>
      <c r="P9" t="s">
        <v>490</v>
      </c>
      <c r="Q9" t="s">
        <v>489</v>
      </c>
      <c r="R9" t="s">
        <v>489</v>
      </c>
      <c r="S9" t="s">
        <v>490</v>
      </c>
      <c r="T9" t="s">
        <v>489</v>
      </c>
      <c r="U9" t="s">
        <v>489</v>
      </c>
      <c r="V9" t="s">
        <v>490</v>
      </c>
      <c r="W9" t="s">
        <v>489</v>
      </c>
      <c r="X9" t="s">
        <v>489</v>
      </c>
      <c r="Y9" t="s">
        <v>490</v>
      </c>
    </row>
    <row r="10" spans="1:25">
      <c r="A10" t="s">
        <v>974</v>
      </c>
      <c r="B10" t="s">
        <v>489</v>
      </c>
      <c r="C10" t="s">
        <v>489</v>
      </c>
      <c r="D10" t="s">
        <v>490</v>
      </c>
      <c r="E10" t="s">
        <v>489</v>
      </c>
      <c r="F10" t="s">
        <v>489</v>
      </c>
      <c r="G10" t="s">
        <v>490</v>
      </c>
      <c r="H10" t="s">
        <v>489</v>
      </c>
      <c r="I10" t="s">
        <v>489</v>
      </c>
      <c r="J10" t="s">
        <v>490</v>
      </c>
      <c r="K10" t="s">
        <v>489</v>
      </c>
      <c r="L10" t="s">
        <v>489</v>
      </c>
      <c r="M10" t="s">
        <v>490</v>
      </c>
      <c r="N10" t="s">
        <v>489</v>
      </c>
      <c r="O10" t="s">
        <v>489</v>
      </c>
      <c r="P10" t="s">
        <v>490</v>
      </c>
      <c r="Q10" t="s">
        <v>489</v>
      </c>
      <c r="R10" t="s">
        <v>489</v>
      </c>
      <c r="S10" t="s">
        <v>490</v>
      </c>
      <c r="T10" t="s">
        <v>489</v>
      </c>
      <c r="U10" t="s">
        <v>489</v>
      </c>
      <c r="V10" t="s">
        <v>490</v>
      </c>
      <c r="W10" t="s">
        <v>489</v>
      </c>
      <c r="X10" t="s">
        <v>489</v>
      </c>
      <c r="Y10" t="s">
        <v>490</v>
      </c>
    </row>
    <row r="11" spans="1:25">
      <c r="A11" t="s">
        <v>954</v>
      </c>
      <c r="B11" t="s">
        <v>489</v>
      </c>
      <c r="C11" t="s">
        <v>489</v>
      </c>
      <c r="D11" t="s">
        <v>490</v>
      </c>
      <c r="E11" t="s">
        <v>489</v>
      </c>
      <c r="F11" t="s">
        <v>489</v>
      </c>
      <c r="G11" t="s">
        <v>490</v>
      </c>
      <c r="H11" t="s">
        <v>490</v>
      </c>
      <c r="I11" t="s">
        <v>490</v>
      </c>
      <c r="J11" t="s">
        <v>489</v>
      </c>
      <c r="K11" t="s">
        <v>489</v>
      </c>
      <c r="L11" t="s">
        <v>490</v>
      </c>
      <c r="M11" t="s">
        <v>490</v>
      </c>
      <c r="N11" t="s">
        <v>489</v>
      </c>
      <c r="O11" t="s">
        <v>489</v>
      </c>
      <c r="P11" t="s">
        <v>490</v>
      </c>
      <c r="Q11" t="s">
        <v>489</v>
      </c>
      <c r="R11" t="s">
        <v>489</v>
      </c>
      <c r="S11" t="s">
        <v>490</v>
      </c>
      <c r="T11" t="s">
        <v>489</v>
      </c>
      <c r="U11" t="s">
        <v>489</v>
      </c>
      <c r="V11" t="s">
        <v>490</v>
      </c>
      <c r="W11" t="s">
        <v>489</v>
      </c>
      <c r="X11" t="s">
        <v>489</v>
      </c>
      <c r="Y11" t="s">
        <v>490</v>
      </c>
    </row>
    <row r="12" spans="1:25">
      <c r="A12" t="s">
        <v>974</v>
      </c>
      <c r="B12" t="s">
        <v>489</v>
      </c>
      <c r="C12" t="s">
        <v>489</v>
      </c>
      <c r="D12" t="s">
        <v>490</v>
      </c>
      <c r="E12" t="s">
        <v>489</v>
      </c>
      <c r="F12" t="s">
        <v>489</v>
      </c>
      <c r="G12" t="s">
        <v>490</v>
      </c>
      <c r="H12" t="s">
        <v>489</v>
      </c>
      <c r="I12" t="s">
        <v>489</v>
      </c>
      <c r="J12" t="s">
        <v>490</v>
      </c>
      <c r="K12" t="s">
        <v>490</v>
      </c>
      <c r="L12" t="s">
        <v>490</v>
      </c>
      <c r="M12" t="s">
        <v>489</v>
      </c>
      <c r="N12" t="s">
        <v>489</v>
      </c>
      <c r="O12" t="s">
        <v>489</v>
      </c>
      <c r="P12" t="s">
        <v>490</v>
      </c>
      <c r="Q12" t="s">
        <v>489</v>
      </c>
      <c r="R12" t="s">
        <v>489</v>
      </c>
      <c r="S12" t="s">
        <v>490</v>
      </c>
      <c r="T12" t="s">
        <v>489</v>
      </c>
      <c r="U12" t="s">
        <v>489</v>
      </c>
      <c r="V12" t="s">
        <v>490</v>
      </c>
      <c r="W12" t="s">
        <v>489</v>
      </c>
      <c r="X12" t="s">
        <v>489</v>
      </c>
      <c r="Y12" t="s">
        <v>490</v>
      </c>
    </row>
    <row r="13" spans="1:25">
      <c r="A13" t="s">
        <v>974</v>
      </c>
      <c r="B13" t="s">
        <v>489</v>
      </c>
      <c r="C13" t="s">
        <v>489</v>
      </c>
      <c r="D13" t="s">
        <v>490</v>
      </c>
      <c r="E13" t="s">
        <v>489</v>
      </c>
      <c r="F13" t="s">
        <v>489</v>
      </c>
      <c r="G13" t="s">
        <v>490</v>
      </c>
      <c r="H13" t="s">
        <v>489</v>
      </c>
      <c r="I13" t="s">
        <v>489</v>
      </c>
      <c r="J13" t="s">
        <v>490</v>
      </c>
      <c r="K13" t="s">
        <v>490</v>
      </c>
      <c r="L13" t="s">
        <v>490</v>
      </c>
      <c r="M13" t="s">
        <v>489</v>
      </c>
      <c r="N13" t="s">
        <v>489</v>
      </c>
      <c r="O13" t="s">
        <v>489</v>
      </c>
      <c r="P13" t="s">
        <v>490</v>
      </c>
      <c r="Q13" t="s">
        <v>489</v>
      </c>
      <c r="R13" t="s">
        <v>489</v>
      </c>
      <c r="S13" t="s">
        <v>490</v>
      </c>
      <c r="T13" t="s">
        <v>489</v>
      </c>
      <c r="U13" t="s">
        <v>489</v>
      </c>
      <c r="V13" t="s">
        <v>490</v>
      </c>
      <c r="W13" t="s">
        <v>489</v>
      </c>
      <c r="X13" t="s">
        <v>489</v>
      </c>
      <c r="Y13" t="s">
        <v>490</v>
      </c>
    </row>
    <row r="14" spans="1:25">
      <c r="A14" t="s">
        <v>972</v>
      </c>
      <c r="B14" t="s">
        <v>489</v>
      </c>
      <c r="C14" t="s">
        <v>489</v>
      </c>
      <c r="D14" t="s">
        <v>490</v>
      </c>
      <c r="E14" t="s">
        <v>489</v>
      </c>
      <c r="F14" t="s">
        <v>489</v>
      </c>
      <c r="G14" t="s">
        <v>490</v>
      </c>
      <c r="H14" t="s">
        <v>490</v>
      </c>
      <c r="I14" t="s">
        <v>490</v>
      </c>
      <c r="J14" t="s">
        <v>489</v>
      </c>
      <c r="K14" t="s">
        <v>489</v>
      </c>
      <c r="L14" t="s">
        <v>489</v>
      </c>
      <c r="M14" t="s">
        <v>490</v>
      </c>
      <c r="N14" t="s">
        <v>490</v>
      </c>
      <c r="O14" t="s">
        <v>490</v>
      </c>
      <c r="P14" t="s">
        <v>489</v>
      </c>
      <c r="Q14" t="s">
        <v>489</v>
      </c>
      <c r="R14" t="s">
        <v>489</v>
      </c>
      <c r="S14" t="s">
        <v>490</v>
      </c>
      <c r="T14" t="s">
        <v>489</v>
      </c>
      <c r="U14" t="s">
        <v>489</v>
      </c>
      <c r="V14" t="s">
        <v>490</v>
      </c>
      <c r="W14" t="s">
        <v>489</v>
      </c>
      <c r="X14" t="s">
        <v>489</v>
      </c>
      <c r="Y14" t="s">
        <v>490</v>
      </c>
    </row>
    <row r="15" spans="1:25">
      <c r="A15" t="s">
        <v>972</v>
      </c>
      <c r="B15" t="s">
        <v>489</v>
      </c>
      <c r="C15" t="s">
        <v>489</v>
      </c>
      <c r="D15" t="s">
        <v>490</v>
      </c>
      <c r="E15" t="s">
        <v>489</v>
      </c>
      <c r="F15" t="s">
        <v>489</v>
      </c>
      <c r="G15" t="s">
        <v>490</v>
      </c>
      <c r="H15" t="s">
        <v>489</v>
      </c>
      <c r="I15" t="s">
        <v>489</v>
      </c>
      <c r="J15" t="s">
        <v>490</v>
      </c>
      <c r="K15" t="s">
        <v>489</v>
      </c>
      <c r="L15" t="s">
        <v>489</v>
      </c>
      <c r="M15" t="s">
        <v>490</v>
      </c>
      <c r="N15" t="s">
        <v>489</v>
      </c>
      <c r="O15" t="s">
        <v>489</v>
      </c>
      <c r="P15" t="s">
        <v>490</v>
      </c>
      <c r="Q15" t="s">
        <v>489</v>
      </c>
      <c r="R15" t="s">
        <v>489</v>
      </c>
      <c r="S15" t="s">
        <v>490</v>
      </c>
      <c r="T15" t="s">
        <v>489</v>
      </c>
      <c r="U15" t="s">
        <v>490</v>
      </c>
      <c r="V15" t="s">
        <v>490</v>
      </c>
      <c r="W15" t="s">
        <v>489</v>
      </c>
      <c r="X15" t="s">
        <v>489</v>
      </c>
      <c r="Y15" t="s">
        <v>490</v>
      </c>
    </row>
    <row r="16" spans="1:25">
      <c r="A16" t="s">
        <v>972</v>
      </c>
      <c r="B16" t="s">
        <v>490</v>
      </c>
      <c r="C16" t="s">
        <v>490</v>
      </c>
      <c r="D16" t="s">
        <v>489</v>
      </c>
      <c r="E16" t="s">
        <v>490</v>
      </c>
      <c r="F16" t="s">
        <v>490</v>
      </c>
      <c r="G16" t="s">
        <v>489</v>
      </c>
      <c r="H16" t="s">
        <v>490</v>
      </c>
      <c r="I16" t="s">
        <v>490</v>
      </c>
      <c r="J16" t="s">
        <v>489</v>
      </c>
      <c r="K16" t="s">
        <v>489</v>
      </c>
      <c r="L16" t="s">
        <v>489</v>
      </c>
      <c r="M16" t="s">
        <v>490</v>
      </c>
      <c r="N16" t="s">
        <v>489</v>
      </c>
      <c r="O16" t="s">
        <v>489</v>
      </c>
      <c r="P16" t="s">
        <v>490</v>
      </c>
      <c r="Q16" t="s">
        <v>489</v>
      </c>
      <c r="R16" t="s">
        <v>489</v>
      </c>
      <c r="S16" t="s">
        <v>490</v>
      </c>
      <c r="T16" t="s">
        <v>489</v>
      </c>
      <c r="U16" t="s">
        <v>490</v>
      </c>
      <c r="V16" t="s">
        <v>490</v>
      </c>
      <c r="W16" t="s">
        <v>489</v>
      </c>
      <c r="X16" t="s">
        <v>489</v>
      </c>
      <c r="Y16" t="s">
        <v>490</v>
      </c>
    </row>
    <row r="17" spans="1:25">
      <c r="A17" t="s">
        <v>974</v>
      </c>
      <c r="B17" t="s">
        <v>489</v>
      </c>
      <c r="C17" t="s">
        <v>489</v>
      </c>
      <c r="D17" t="s">
        <v>490</v>
      </c>
      <c r="E17" t="s">
        <v>489</v>
      </c>
      <c r="F17" t="s">
        <v>489</v>
      </c>
      <c r="G17" t="s">
        <v>490</v>
      </c>
      <c r="H17" t="s">
        <v>489</v>
      </c>
      <c r="I17" t="s">
        <v>489</v>
      </c>
      <c r="J17" t="s">
        <v>490</v>
      </c>
      <c r="K17" t="s">
        <v>489</v>
      </c>
      <c r="L17" t="s">
        <v>490</v>
      </c>
      <c r="M17" t="s">
        <v>490</v>
      </c>
      <c r="N17" t="s">
        <v>489</v>
      </c>
      <c r="O17" t="s">
        <v>489</v>
      </c>
      <c r="P17" t="s">
        <v>490</v>
      </c>
      <c r="Q17" t="s">
        <v>489</v>
      </c>
      <c r="R17" t="s">
        <v>489</v>
      </c>
      <c r="S17" t="s">
        <v>490</v>
      </c>
      <c r="T17" t="s">
        <v>489</v>
      </c>
      <c r="U17" t="s">
        <v>490</v>
      </c>
      <c r="V17" t="s">
        <v>490</v>
      </c>
      <c r="W17" t="s">
        <v>489</v>
      </c>
      <c r="X17" t="s">
        <v>489</v>
      </c>
      <c r="Y17" t="s">
        <v>490</v>
      </c>
    </row>
    <row r="18" spans="1:25">
      <c r="A18" t="s">
        <v>974</v>
      </c>
      <c r="B18" t="s">
        <v>489</v>
      </c>
      <c r="C18" t="s">
        <v>489</v>
      </c>
      <c r="D18" t="s">
        <v>490</v>
      </c>
      <c r="E18" t="s">
        <v>489</v>
      </c>
      <c r="F18" t="s">
        <v>490</v>
      </c>
      <c r="G18" t="s">
        <v>490</v>
      </c>
      <c r="H18" t="s">
        <v>489</v>
      </c>
      <c r="I18" t="s">
        <v>489</v>
      </c>
      <c r="J18" t="s">
        <v>490</v>
      </c>
      <c r="K18" t="s">
        <v>489</v>
      </c>
      <c r="L18" t="s">
        <v>490</v>
      </c>
      <c r="M18" t="s">
        <v>490</v>
      </c>
      <c r="N18" t="s">
        <v>489</v>
      </c>
      <c r="O18" t="s">
        <v>490</v>
      </c>
      <c r="P18" t="s">
        <v>490</v>
      </c>
      <c r="Q18" t="s">
        <v>489</v>
      </c>
      <c r="R18" t="s">
        <v>490</v>
      </c>
      <c r="S18" t="s">
        <v>490</v>
      </c>
      <c r="T18" t="s">
        <v>489</v>
      </c>
      <c r="U18" t="s">
        <v>490</v>
      </c>
      <c r="V18" t="s">
        <v>490</v>
      </c>
      <c r="W18" t="s">
        <v>489</v>
      </c>
      <c r="X18" t="s">
        <v>489</v>
      </c>
      <c r="Y18" t="s">
        <v>490</v>
      </c>
    </row>
    <row r="19" spans="1:25">
      <c r="A19" t="s">
        <v>972</v>
      </c>
      <c r="B19" t="s">
        <v>489</v>
      </c>
      <c r="C19" t="s">
        <v>489</v>
      </c>
      <c r="D19" t="s">
        <v>490</v>
      </c>
      <c r="E19" t="s">
        <v>489</v>
      </c>
      <c r="F19" t="s">
        <v>489</v>
      </c>
      <c r="G19" t="s">
        <v>490</v>
      </c>
      <c r="H19" t="s">
        <v>489</v>
      </c>
      <c r="I19" t="s">
        <v>489</v>
      </c>
      <c r="J19" t="s">
        <v>490</v>
      </c>
      <c r="K19" t="s">
        <v>489</v>
      </c>
      <c r="L19" t="s">
        <v>489</v>
      </c>
      <c r="M19" t="s">
        <v>490</v>
      </c>
      <c r="N19" t="s">
        <v>489</v>
      </c>
      <c r="O19" t="s">
        <v>489</v>
      </c>
      <c r="P19" t="s">
        <v>490</v>
      </c>
      <c r="Q19" t="s">
        <v>489</v>
      </c>
      <c r="R19" t="s">
        <v>489</v>
      </c>
      <c r="S19" t="s">
        <v>490</v>
      </c>
      <c r="T19" t="s">
        <v>490</v>
      </c>
      <c r="U19" t="s">
        <v>490</v>
      </c>
      <c r="V19" t="s">
        <v>489</v>
      </c>
      <c r="W19" t="s">
        <v>489</v>
      </c>
      <c r="X19" t="s">
        <v>489</v>
      </c>
      <c r="Y19" t="s">
        <v>490</v>
      </c>
    </row>
    <row r="20" spans="1:25">
      <c r="A20" t="s">
        <v>972</v>
      </c>
      <c r="B20" t="s">
        <v>489</v>
      </c>
      <c r="C20" t="s">
        <v>489</v>
      </c>
      <c r="D20" t="s">
        <v>490</v>
      </c>
      <c r="E20" t="s">
        <v>489</v>
      </c>
      <c r="F20" t="s">
        <v>489</v>
      </c>
      <c r="G20" t="s">
        <v>490</v>
      </c>
      <c r="H20" t="s">
        <v>489</v>
      </c>
      <c r="I20" t="s">
        <v>489</v>
      </c>
      <c r="J20" t="s">
        <v>490</v>
      </c>
      <c r="K20" t="s">
        <v>489</v>
      </c>
      <c r="L20" t="s">
        <v>489</v>
      </c>
      <c r="M20" t="s">
        <v>490</v>
      </c>
      <c r="N20" t="s">
        <v>489</v>
      </c>
      <c r="O20" t="s">
        <v>489</v>
      </c>
      <c r="P20" t="s">
        <v>490</v>
      </c>
      <c r="Q20" t="s">
        <v>489</v>
      </c>
      <c r="R20" t="s">
        <v>489</v>
      </c>
      <c r="S20" t="s">
        <v>490</v>
      </c>
      <c r="T20" t="s">
        <v>490</v>
      </c>
      <c r="U20" t="s">
        <v>490</v>
      </c>
      <c r="V20" t="s">
        <v>489</v>
      </c>
      <c r="W20" t="s">
        <v>489</v>
      </c>
      <c r="X20" t="s">
        <v>489</v>
      </c>
      <c r="Y20" t="s">
        <v>490</v>
      </c>
    </row>
    <row r="21" spans="1:25">
      <c r="A21" t="s">
        <v>974</v>
      </c>
      <c r="B21" t="s">
        <v>489</v>
      </c>
      <c r="C21" t="s">
        <v>489</v>
      </c>
      <c r="D21" t="s">
        <v>490</v>
      </c>
      <c r="E21" t="s">
        <v>489</v>
      </c>
      <c r="F21" t="s">
        <v>489</v>
      </c>
      <c r="G21" t="s">
        <v>490</v>
      </c>
      <c r="H21" t="s">
        <v>489</v>
      </c>
      <c r="I21" t="s">
        <v>489</v>
      </c>
      <c r="J21" t="s">
        <v>490</v>
      </c>
      <c r="K21" t="s">
        <v>489</v>
      </c>
      <c r="L21" t="s">
        <v>489</v>
      </c>
      <c r="M21" t="s">
        <v>490</v>
      </c>
      <c r="N21" t="s">
        <v>489</v>
      </c>
      <c r="O21" t="s">
        <v>489</v>
      </c>
      <c r="P21" t="s">
        <v>490</v>
      </c>
      <c r="Q21" t="s">
        <v>489</v>
      </c>
      <c r="R21" t="s">
        <v>489</v>
      </c>
      <c r="S21" t="s">
        <v>490</v>
      </c>
      <c r="T21" t="s">
        <v>490</v>
      </c>
      <c r="U21" t="s">
        <v>490</v>
      </c>
      <c r="V21" t="s">
        <v>489</v>
      </c>
      <c r="W21" t="s">
        <v>489</v>
      </c>
      <c r="X21" t="s">
        <v>489</v>
      </c>
      <c r="Y21" t="s">
        <v>490</v>
      </c>
    </row>
    <row r="22" spans="1:25">
      <c r="A22" t="s">
        <v>972</v>
      </c>
      <c r="B22" t="s">
        <v>489</v>
      </c>
      <c r="C22" t="s">
        <v>489</v>
      </c>
      <c r="D22" t="s">
        <v>490</v>
      </c>
      <c r="E22" t="s">
        <v>489</v>
      </c>
      <c r="F22" t="s">
        <v>489</v>
      </c>
      <c r="G22" t="s">
        <v>490</v>
      </c>
      <c r="H22" t="s">
        <v>489</v>
      </c>
      <c r="I22" t="s">
        <v>489</v>
      </c>
      <c r="J22" t="s">
        <v>490</v>
      </c>
      <c r="K22" t="s">
        <v>489</v>
      </c>
      <c r="L22" t="s">
        <v>489</v>
      </c>
      <c r="M22" t="s">
        <v>490</v>
      </c>
      <c r="N22" t="s">
        <v>489</v>
      </c>
      <c r="O22" t="s">
        <v>489</v>
      </c>
      <c r="P22" t="s">
        <v>490</v>
      </c>
      <c r="Q22" t="s">
        <v>489</v>
      </c>
      <c r="R22" t="s">
        <v>489</v>
      </c>
      <c r="S22" t="s">
        <v>490</v>
      </c>
      <c r="T22" t="s">
        <v>490</v>
      </c>
      <c r="U22" t="s">
        <v>490</v>
      </c>
      <c r="V22" t="s">
        <v>489</v>
      </c>
      <c r="W22" t="s">
        <v>489</v>
      </c>
      <c r="X22" t="s">
        <v>489</v>
      </c>
      <c r="Y22" t="s">
        <v>490</v>
      </c>
    </row>
    <row r="23" spans="1:25">
      <c r="A23" t="s">
        <v>974</v>
      </c>
      <c r="B23" t="s">
        <v>489</v>
      </c>
      <c r="C23" t="s">
        <v>489</v>
      </c>
      <c r="D23" t="s">
        <v>490</v>
      </c>
      <c r="E23" t="s">
        <v>489</v>
      </c>
      <c r="F23" t="s">
        <v>489</v>
      </c>
      <c r="G23" t="s">
        <v>490</v>
      </c>
      <c r="H23" t="s">
        <v>489</v>
      </c>
      <c r="I23" t="s">
        <v>489</v>
      </c>
      <c r="J23" t="s">
        <v>490</v>
      </c>
      <c r="K23" t="s">
        <v>489</v>
      </c>
      <c r="L23" t="s">
        <v>489</v>
      </c>
      <c r="M23" t="s">
        <v>490</v>
      </c>
      <c r="N23" t="s">
        <v>489</v>
      </c>
      <c r="O23" t="s">
        <v>489</v>
      </c>
      <c r="P23" t="s">
        <v>490</v>
      </c>
      <c r="Q23" t="s">
        <v>489</v>
      </c>
      <c r="R23" t="s">
        <v>489</v>
      </c>
      <c r="S23" t="s">
        <v>490</v>
      </c>
      <c r="T23" t="s">
        <v>490</v>
      </c>
      <c r="U23" t="s">
        <v>490</v>
      </c>
      <c r="V23" t="s">
        <v>489</v>
      </c>
      <c r="W23" t="s">
        <v>489</v>
      </c>
      <c r="X23" t="s">
        <v>489</v>
      </c>
      <c r="Y23" t="s">
        <v>490</v>
      </c>
    </row>
    <row r="24" spans="1:25">
      <c r="A24" t="s">
        <v>972</v>
      </c>
      <c r="B24" t="s">
        <v>489</v>
      </c>
      <c r="C24" t="s">
        <v>490</v>
      </c>
      <c r="D24" t="s">
        <v>490</v>
      </c>
      <c r="E24" t="s">
        <v>489</v>
      </c>
      <c r="F24" t="s">
        <v>489</v>
      </c>
      <c r="G24" t="s">
        <v>490</v>
      </c>
      <c r="H24" t="s">
        <v>489</v>
      </c>
      <c r="I24" t="s">
        <v>490</v>
      </c>
      <c r="J24" t="s">
        <v>490</v>
      </c>
      <c r="K24" t="s">
        <v>489</v>
      </c>
      <c r="L24" t="s">
        <v>489</v>
      </c>
      <c r="M24" t="s">
        <v>490</v>
      </c>
      <c r="N24" t="s">
        <v>489</v>
      </c>
      <c r="O24" t="s">
        <v>489</v>
      </c>
      <c r="P24" t="s">
        <v>490</v>
      </c>
      <c r="Q24" t="s">
        <v>489</v>
      </c>
      <c r="R24" t="s">
        <v>489</v>
      </c>
      <c r="S24" t="s">
        <v>490</v>
      </c>
      <c r="T24" t="s">
        <v>490</v>
      </c>
      <c r="U24" t="s">
        <v>490</v>
      </c>
      <c r="V24" t="s">
        <v>489</v>
      </c>
      <c r="W24" t="s">
        <v>489</v>
      </c>
      <c r="X24" t="s">
        <v>489</v>
      </c>
      <c r="Y24" t="s">
        <v>490</v>
      </c>
    </row>
    <row r="25" spans="1:25">
      <c r="A25" t="s">
        <v>972</v>
      </c>
      <c r="B25" t="s">
        <v>489</v>
      </c>
      <c r="C25" t="s">
        <v>490</v>
      </c>
      <c r="D25" t="s">
        <v>490</v>
      </c>
      <c r="E25" t="s">
        <v>489</v>
      </c>
      <c r="F25" t="s">
        <v>490</v>
      </c>
      <c r="G25" t="s">
        <v>490</v>
      </c>
      <c r="H25" t="s">
        <v>489</v>
      </c>
      <c r="I25" t="s">
        <v>489</v>
      </c>
      <c r="J25" t="s">
        <v>490</v>
      </c>
      <c r="K25" t="s">
        <v>489</v>
      </c>
      <c r="L25" t="s">
        <v>490</v>
      </c>
      <c r="M25" t="s">
        <v>490</v>
      </c>
      <c r="N25" t="s">
        <v>489</v>
      </c>
      <c r="O25" t="s">
        <v>489</v>
      </c>
      <c r="P25" t="s">
        <v>490</v>
      </c>
      <c r="Q25" t="s">
        <v>489</v>
      </c>
      <c r="R25" t="s">
        <v>489</v>
      </c>
      <c r="S25" t="s">
        <v>490</v>
      </c>
      <c r="T25" t="s">
        <v>490</v>
      </c>
      <c r="U25" t="s">
        <v>490</v>
      </c>
      <c r="V25" t="s">
        <v>489</v>
      </c>
      <c r="W25" t="s">
        <v>489</v>
      </c>
      <c r="X25" t="s">
        <v>489</v>
      </c>
      <c r="Y25" t="s">
        <v>490</v>
      </c>
    </row>
    <row r="26" spans="1:25">
      <c r="A26" t="s">
        <v>974</v>
      </c>
      <c r="B26" t="s">
        <v>489</v>
      </c>
      <c r="C26" t="s">
        <v>489</v>
      </c>
      <c r="D26" t="s">
        <v>490</v>
      </c>
      <c r="E26" t="s">
        <v>490</v>
      </c>
      <c r="F26" t="s">
        <v>490</v>
      </c>
      <c r="G26" t="s">
        <v>489</v>
      </c>
      <c r="H26" t="s">
        <v>489</v>
      </c>
      <c r="I26" t="s">
        <v>489</v>
      </c>
      <c r="J26" t="s">
        <v>490</v>
      </c>
      <c r="K26" t="s">
        <v>490</v>
      </c>
      <c r="L26" t="s">
        <v>490</v>
      </c>
      <c r="M26" t="s">
        <v>489</v>
      </c>
      <c r="N26" t="s">
        <v>489</v>
      </c>
      <c r="O26" t="s">
        <v>489</v>
      </c>
      <c r="P26" t="s">
        <v>490</v>
      </c>
      <c r="Q26" t="s">
        <v>489</v>
      </c>
      <c r="R26" t="s">
        <v>489</v>
      </c>
      <c r="S26" t="s">
        <v>490</v>
      </c>
      <c r="T26" t="s">
        <v>490</v>
      </c>
      <c r="U26" t="s">
        <v>490</v>
      </c>
      <c r="V26" t="s">
        <v>489</v>
      </c>
      <c r="W26" t="s">
        <v>489</v>
      </c>
      <c r="X26" t="s">
        <v>489</v>
      </c>
      <c r="Y26" t="s">
        <v>490</v>
      </c>
    </row>
    <row r="27" spans="1:25">
      <c r="A27" t="s">
        <v>972</v>
      </c>
      <c r="B27" t="s">
        <v>489</v>
      </c>
      <c r="C27" t="s">
        <v>489</v>
      </c>
      <c r="D27" t="s">
        <v>490</v>
      </c>
      <c r="E27" t="s">
        <v>489</v>
      </c>
      <c r="F27" t="s">
        <v>489</v>
      </c>
      <c r="G27" t="s">
        <v>490</v>
      </c>
      <c r="H27" t="s">
        <v>489</v>
      </c>
      <c r="I27" t="s">
        <v>489</v>
      </c>
      <c r="J27" t="s">
        <v>490</v>
      </c>
      <c r="K27" t="s">
        <v>489</v>
      </c>
      <c r="L27" t="s">
        <v>489</v>
      </c>
      <c r="M27" t="s">
        <v>490</v>
      </c>
      <c r="N27" t="s">
        <v>489</v>
      </c>
      <c r="O27" t="s">
        <v>489</v>
      </c>
      <c r="P27" t="s">
        <v>490</v>
      </c>
      <c r="Q27" t="s">
        <v>489</v>
      </c>
      <c r="R27" t="s">
        <v>490</v>
      </c>
      <c r="S27" t="s">
        <v>490</v>
      </c>
      <c r="T27" t="s">
        <v>490</v>
      </c>
      <c r="U27" t="s">
        <v>490</v>
      </c>
      <c r="V27" t="s">
        <v>489</v>
      </c>
      <c r="W27" t="s">
        <v>489</v>
      </c>
      <c r="X27" t="s">
        <v>489</v>
      </c>
      <c r="Y27" t="s">
        <v>490</v>
      </c>
    </row>
    <row r="28" spans="1:25">
      <c r="A28" t="s">
        <v>972</v>
      </c>
      <c r="B28" t="s">
        <v>489</v>
      </c>
      <c r="C28" t="s">
        <v>490</v>
      </c>
      <c r="D28" t="s">
        <v>490</v>
      </c>
      <c r="E28" t="s">
        <v>489</v>
      </c>
      <c r="F28" t="s">
        <v>490</v>
      </c>
      <c r="G28" t="s">
        <v>490</v>
      </c>
      <c r="H28" t="s">
        <v>489</v>
      </c>
      <c r="I28" t="s">
        <v>490</v>
      </c>
      <c r="J28" t="s">
        <v>490</v>
      </c>
      <c r="K28" t="s">
        <v>489</v>
      </c>
      <c r="L28" t="s">
        <v>490</v>
      </c>
      <c r="M28" t="s">
        <v>490</v>
      </c>
      <c r="N28" t="s">
        <v>489</v>
      </c>
      <c r="O28" t="s">
        <v>489</v>
      </c>
      <c r="P28" t="s">
        <v>490</v>
      </c>
      <c r="Q28" t="s">
        <v>489</v>
      </c>
      <c r="R28" t="s">
        <v>490</v>
      </c>
      <c r="S28" t="s">
        <v>490</v>
      </c>
      <c r="T28" t="s">
        <v>490</v>
      </c>
      <c r="U28" t="s">
        <v>490</v>
      </c>
      <c r="V28" t="s">
        <v>489</v>
      </c>
      <c r="W28" t="s">
        <v>489</v>
      </c>
      <c r="X28" t="s">
        <v>489</v>
      </c>
      <c r="Y28" t="s">
        <v>490</v>
      </c>
    </row>
    <row r="29" spans="1:25">
      <c r="A29" t="s">
        <v>972</v>
      </c>
      <c r="B29" t="s">
        <v>489</v>
      </c>
      <c r="C29" t="s">
        <v>490</v>
      </c>
      <c r="D29" t="s">
        <v>490</v>
      </c>
      <c r="E29" t="s">
        <v>490</v>
      </c>
      <c r="F29" t="s">
        <v>490</v>
      </c>
      <c r="G29" t="s">
        <v>489</v>
      </c>
      <c r="H29" t="s">
        <v>490</v>
      </c>
      <c r="I29" t="s">
        <v>490</v>
      </c>
      <c r="J29" t="s">
        <v>489</v>
      </c>
      <c r="K29" t="s">
        <v>489</v>
      </c>
      <c r="L29" t="s">
        <v>490</v>
      </c>
      <c r="M29" t="s">
        <v>490</v>
      </c>
      <c r="N29" t="s">
        <v>489</v>
      </c>
      <c r="O29" t="s">
        <v>489</v>
      </c>
      <c r="P29" t="s">
        <v>490</v>
      </c>
      <c r="Q29" t="s">
        <v>489</v>
      </c>
      <c r="R29" t="s">
        <v>490</v>
      </c>
      <c r="S29" t="s">
        <v>490</v>
      </c>
      <c r="T29" t="s">
        <v>490</v>
      </c>
      <c r="U29" t="s">
        <v>490</v>
      </c>
      <c r="V29" t="s">
        <v>489</v>
      </c>
      <c r="W29" t="s">
        <v>489</v>
      </c>
      <c r="X29" t="s">
        <v>489</v>
      </c>
      <c r="Y29" t="s">
        <v>490</v>
      </c>
    </row>
    <row r="30" spans="1:25">
      <c r="A30" t="s">
        <v>974</v>
      </c>
      <c r="B30" t="s">
        <v>489</v>
      </c>
      <c r="C30" t="s">
        <v>489</v>
      </c>
      <c r="D30" t="s">
        <v>490</v>
      </c>
      <c r="E30" t="s">
        <v>489</v>
      </c>
      <c r="F30" t="s">
        <v>489</v>
      </c>
      <c r="G30" t="s">
        <v>490</v>
      </c>
      <c r="H30" t="s">
        <v>489</v>
      </c>
      <c r="I30" t="s">
        <v>489</v>
      </c>
      <c r="J30" t="s">
        <v>490</v>
      </c>
      <c r="K30" t="s">
        <v>490</v>
      </c>
      <c r="L30" t="s">
        <v>490</v>
      </c>
      <c r="M30" t="s">
        <v>489</v>
      </c>
      <c r="N30" t="s">
        <v>489</v>
      </c>
      <c r="O30" t="s">
        <v>489</v>
      </c>
      <c r="P30" t="s">
        <v>490</v>
      </c>
      <c r="Q30" t="s">
        <v>489</v>
      </c>
      <c r="R30" t="s">
        <v>490</v>
      </c>
      <c r="S30" t="s">
        <v>490</v>
      </c>
      <c r="T30" t="s">
        <v>490</v>
      </c>
      <c r="U30" t="s">
        <v>490</v>
      </c>
      <c r="V30" t="s">
        <v>489</v>
      </c>
      <c r="W30" t="s">
        <v>489</v>
      </c>
      <c r="X30" t="s">
        <v>489</v>
      </c>
      <c r="Y30" t="s">
        <v>490</v>
      </c>
    </row>
    <row r="31" spans="1:25">
      <c r="A31" t="s">
        <v>974</v>
      </c>
      <c r="B31" t="s">
        <v>489</v>
      </c>
      <c r="C31" t="s">
        <v>489</v>
      </c>
      <c r="D31" t="s">
        <v>490</v>
      </c>
      <c r="E31" t="s">
        <v>489</v>
      </c>
      <c r="F31" t="s">
        <v>489</v>
      </c>
      <c r="G31" t="s">
        <v>490</v>
      </c>
      <c r="H31" t="s">
        <v>489</v>
      </c>
      <c r="I31" t="s">
        <v>489</v>
      </c>
      <c r="J31" t="s">
        <v>490</v>
      </c>
      <c r="K31" t="s">
        <v>489</v>
      </c>
      <c r="L31" t="s">
        <v>489</v>
      </c>
      <c r="M31" t="s">
        <v>490</v>
      </c>
      <c r="N31" t="s">
        <v>489</v>
      </c>
      <c r="O31" t="s">
        <v>489</v>
      </c>
      <c r="P31" t="s">
        <v>490</v>
      </c>
      <c r="Q31" t="s">
        <v>490</v>
      </c>
      <c r="R31" t="s">
        <v>490</v>
      </c>
      <c r="S31" t="s">
        <v>489</v>
      </c>
      <c r="T31" t="s">
        <v>490</v>
      </c>
      <c r="U31" t="s">
        <v>490</v>
      </c>
      <c r="V31" t="s">
        <v>489</v>
      </c>
      <c r="W31" t="s">
        <v>489</v>
      </c>
      <c r="X31" t="s">
        <v>489</v>
      </c>
      <c r="Y31" t="s">
        <v>490</v>
      </c>
    </row>
    <row r="32" spans="1:25">
      <c r="A32" t="s">
        <v>972</v>
      </c>
      <c r="B32" t="s">
        <v>489</v>
      </c>
      <c r="C32" t="s">
        <v>489</v>
      </c>
      <c r="D32" t="s">
        <v>490</v>
      </c>
      <c r="E32" t="s">
        <v>489</v>
      </c>
      <c r="F32" t="s">
        <v>489</v>
      </c>
      <c r="G32" t="s">
        <v>490</v>
      </c>
      <c r="H32" t="s">
        <v>490</v>
      </c>
      <c r="I32" t="s">
        <v>490</v>
      </c>
      <c r="J32" t="s">
        <v>489</v>
      </c>
      <c r="K32" t="s">
        <v>489</v>
      </c>
      <c r="L32" t="s">
        <v>489</v>
      </c>
      <c r="M32" t="s">
        <v>490</v>
      </c>
      <c r="N32" t="s">
        <v>489</v>
      </c>
      <c r="O32" t="s">
        <v>489</v>
      </c>
      <c r="P32" t="s">
        <v>490</v>
      </c>
      <c r="Q32" t="s">
        <v>490</v>
      </c>
      <c r="R32" t="s">
        <v>490</v>
      </c>
      <c r="S32" t="s">
        <v>489</v>
      </c>
      <c r="T32" t="s">
        <v>490</v>
      </c>
      <c r="U32" t="s">
        <v>490</v>
      </c>
      <c r="V32" t="s">
        <v>489</v>
      </c>
      <c r="W32" t="s">
        <v>489</v>
      </c>
      <c r="X32" t="s">
        <v>489</v>
      </c>
      <c r="Y32" t="s">
        <v>490</v>
      </c>
    </row>
    <row r="33" spans="1:25">
      <c r="A33" t="s">
        <v>954</v>
      </c>
      <c r="B33" t="s">
        <v>490</v>
      </c>
      <c r="C33" t="s">
        <v>490</v>
      </c>
      <c r="D33" t="s">
        <v>489</v>
      </c>
      <c r="E33" t="s">
        <v>490</v>
      </c>
      <c r="F33" t="s">
        <v>490</v>
      </c>
      <c r="G33" t="s">
        <v>489</v>
      </c>
      <c r="H33" t="s">
        <v>490</v>
      </c>
      <c r="I33" t="s">
        <v>490</v>
      </c>
      <c r="J33" t="s">
        <v>489</v>
      </c>
      <c r="K33" t="s">
        <v>490</v>
      </c>
      <c r="L33" t="s">
        <v>490</v>
      </c>
      <c r="M33" t="s">
        <v>489</v>
      </c>
      <c r="N33" t="s">
        <v>489</v>
      </c>
      <c r="O33" t="s">
        <v>489</v>
      </c>
      <c r="P33" t="s">
        <v>490</v>
      </c>
      <c r="Q33" t="s">
        <v>490</v>
      </c>
      <c r="R33" t="s">
        <v>490</v>
      </c>
      <c r="S33" t="s">
        <v>489</v>
      </c>
      <c r="T33" t="s">
        <v>490</v>
      </c>
      <c r="U33" t="s">
        <v>490</v>
      </c>
      <c r="V33" t="s">
        <v>489</v>
      </c>
      <c r="W33" t="s">
        <v>489</v>
      </c>
      <c r="X33" t="s">
        <v>489</v>
      </c>
      <c r="Y33" t="s">
        <v>490</v>
      </c>
    </row>
    <row r="34" spans="1:25">
      <c r="A34" t="s">
        <v>972</v>
      </c>
      <c r="B34" t="s">
        <v>489</v>
      </c>
      <c r="C34" t="s">
        <v>489</v>
      </c>
      <c r="D34" t="s">
        <v>490</v>
      </c>
      <c r="E34" t="s">
        <v>489</v>
      </c>
      <c r="F34" t="s">
        <v>489</v>
      </c>
      <c r="G34" t="s">
        <v>490</v>
      </c>
      <c r="H34" t="s">
        <v>490</v>
      </c>
      <c r="I34" t="s">
        <v>490</v>
      </c>
      <c r="J34" t="s">
        <v>489</v>
      </c>
      <c r="K34" t="s">
        <v>489</v>
      </c>
      <c r="L34" t="s">
        <v>489</v>
      </c>
      <c r="M34" t="s">
        <v>490</v>
      </c>
      <c r="N34" t="s">
        <v>490</v>
      </c>
      <c r="O34" t="s">
        <v>490</v>
      </c>
      <c r="P34" t="s">
        <v>489</v>
      </c>
      <c r="Q34" t="s">
        <v>490</v>
      </c>
      <c r="R34" t="s">
        <v>490</v>
      </c>
      <c r="S34" t="s">
        <v>489</v>
      </c>
      <c r="T34" t="s">
        <v>490</v>
      </c>
      <c r="U34" t="s">
        <v>490</v>
      </c>
      <c r="V34" t="s">
        <v>489</v>
      </c>
      <c r="W34" t="s">
        <v>489</v>
      </c>
      <c r="X34" t="s">
        <v>489</v>
      </c>
      <c r="Y34" t="s">
        <v>490</v>
      </c>
    </row>
    <row r="35" spans="1:25">
      <c r="A35" t="s">
        <v>972</v>
      </c>
      <c r="B35" t="s">
        <v>490</v>
      </c>
      <c r="C35" t="s">
        <v>489</v>
      </c>
      <c r="D35" t="s">
        <v>490</v>
      </c>
      <c r="E35" t="s">
        <v>490</v>
      </c>
      <c r="F35" t="s">
        <v>489</v>
      </c>
      <c r="G35" t="s">
        <v>490</v>
      </c>
      <c r="H35" t="s">
        <v>490</v>
      </c>
      <c r="I35" t="s">
        <v>490</v>
      </c>
      <c r="J35" t="s">
        <v>489</v>
      </c>
      <c r="K35" t="s">
        <v>490</v>
      </c>
      <c r="L35" t="s">
        <v>490</v>
      </c>
      <c r="M35" t="s">
        <v>489</v>
      </c>
      <c r="N35" t="s">
        <v>490</v>
      </c>
      <c r="O35" t="s">
        <v>489</v>
      </c>
      <c r="P35" t="s">
        <v>490</v>
      </c>
      <c r="Q35" t="s">
        <v>490</v>
      </c>
      <c r="R35" t="s">
        <v>489</v>
      </c>
      <c r="S35" t="s">
        <v>490</v>
      </c>
      <c r="T35" t="s">
        <v>490</v>
      </c>
      <c r="U35" t="s">
        <v>490</v>
      </c>
      <c r="V35" t="s">
        <v>489</v>
      </c>
      <c r="W35" t="s">
        <v>490</v>
      </c>
      <c r="X35" t="s">
        <v>489</v>
      </c>
      <c r="Y35" t="s">
        <v>490</v>
      </c>
    </row>
    <row r="36" spans="1:25">
      <c r="A36" t="s">
        <v>974</v>
      </c>
      <c r="B36" t="s">
        <v>489</v>
      </c>
      <c r="C36" t="s">
        <v>489</v>
      </c>
      <c r="D36" t="s">
        <v>490</v>
      </c>
      <c r="E36" t="s">
        <v>489</v>
      </c>
      <c r="F36" t="s">
        <v>489</v>
      </c>
      <c r="G36" t="s">
        <v>490</v>
      </c>
      <c r="H36" t="s">
        <v>489</v>
      </c>
      <c r="I36" t="s">
        <v>489</v>
      </c>
      <c r="J36" t="s">
        <v>490</v>
      </c>
      <c r="K36" t="s">
        <v>490</v>
      </c>
      <c r="L36" t="s">
        <v>490</v>
      </c>
      <c r="M36" t="s">
        <v>489</v>
      </c>
      <c r="N36" t="s">
        <v>489</v>
      </c>
      <c r="O36" t="s">
        <v>489</v>
      </c>
      <c r="P36" t="s">
        <v>490</v>
      </c>
      <c r="Q36" t="s">
        <v>489</v>
      </c>
      <c r="R36" t="s">
        <v>490</v>
      </c>
      <c r="S36" t="s">
        <v>490</v>
      </c>
      <c r="T36" t="s">
        <v>489</v>
      </c>
      <c r="U36" t="s">
        <v>489</v>
      </c>
      <c r="V36" t="s">
        <v>490</v>
      </c>
      <c r="W36" t="s">
        <v>489</v>
      </c>
      <c r="X36" t="s">
        <v>490</v>
      </c>
      <c r="Y36" t="s">
        <v>490</v>
      </c>
    </row>
    <row r="37" spans="1:25">
      <c r="A37" t="s">
        <v>974</v>
      </c>
      <c r="B37" t="s">
        <v>489</v>
      </c>
      <c r="C37" t="s">
        <v>489</v>
      </c>
      <c r="D37" t="s">
        <v>490</v>
      </c>
      <c r="E37" t="s">
        <v>489</v>
      </c>
      <c r="F37" t="s">
        <v>489</v>
      </c>
      <c r="G37" t="s">
        <v>490</v>
      </c>
      <c r="H37" t="s">
        <v>489</v>
      </c>
      <c r="I37" t="s">
        <v>489</v>
      </c>
      <c r="J37" t="s">
        <v>490</v>
      </c>
      <c r="K37" t="s">
        <v>490</v>
      </c>
      <c r="L37" t="s">
        <v>489</v>
      </c>
      <c r="M37" t="s">
        <v>490</v>
      </c>
      <c r="N37" t="s">
        <v>489</v>
      </c>
      <c r="O37" t="s">
        <v>489</v>
      </c>
      <c r="P37" t="s">
        <v>490</v>
      </c>
      <c r="Q37" t="s">
        <v>489</v>
      </c>
      <c r="R37" t="s">
        <v>489</v>
      </c>
      <c r="S37" t="s">
        <v>490</v>
      </c>
      <c r="T37" t="s">
        <v>489</v>
      </c>
      <c r="U37" t="s">
        <v>490</v>
      </c>
      <c r="V37" t="s">
        <v>490</v>
      </c>
      <c r="W37" t="s">
        <v>489</v>
      </c>
      <c r="X37" t="s">
        <v>490</v>
      </c>
      <c r="Y37" t="s">
        <v>490</v>
      </c>
    </row>
    <row r="38" spans="1:25">
      <c r="A38" t="s">
        <v>972</v>
      </c>
      <c r="B38" t="s">
        <v>489</v>
      </c>
      <c r="C38" t="s">
        <v>490</v>
      </c>
      <c r="D38" t="s">
        <v>490</v>
      </c>
      <c r="E38" t="s">
        <v>489</v>
      </c>
      <c r="F38" t="s">
        <v>490</v>
      </c>
      <c r="G38" t="s">
        <v>490</v>
      </c>
      <c r="H38" t="s">
        <v>489</v>
      </c>
      <c r="I38" t="s">
        <v>490</v>
      </c>
      <c r="J38" t="s">
        <v>490</v>
      </c>
      <c r="K38" t="s">
        <v>489</v>
      </c>
      <c r="L38" t="s">
        <v>489</v>
      </c>
      <c r="M38" t="s">
        <v>490</v>
      </c>
      <c r="N38" t="s">
        <v>489</v>
      </c>
      <c r="O38" t="s">
        <v>489</v>
      </c>
      <c r="P38" t="s">
        <v>490</v>
      </c>
      <c r="Q38" t="s">
        <v>489</v>
      </c>
      <c r="R38" t="s">
        <v>490</v>
      </c>
      <c r="S38" t="s">
        <v>490</v>
      </c>
      <c r="T38" t="s">
        <v>489</v>
      </c>
      <c r="U38" t="s">
        <v>490</v>
      </c>
      <c r="V38" t="s">
        <v>490</v>
      </c>
      <c r="W38" t="s">
        <v>489</v>
      </c>
      <c r="X38" t="s">
        <v>490</v>
      </c>
      <c r="Y38" t="s">
        <v>490</v>
      </c>
    </row>
    <row r="39" spans="1:25">
      <c r="A39" t="s">
        <v>972</v>
      </c>
      <c r="B39" t="s">
        <v>489</v>
      </c>
      <c r="C39" t="s">
        <v>490</v>
      </c>
      <c r="D39" t="s">
        <v>490</v>
      </c>
      <c r="E39" t="s">
        <v>489</v>
      </c>
      <c r="F39" t="s">
        <v>490</v>
      </c>
      <c r="G39" t="s">
        <v>490</v>
      </c>
      <c r="H39" t="s">
        <v>489</v>
      </c>
      <c r="I39" t="s">
        <v>490</v>
      </c>
      <c r="J39" t="s">
        <v>490</v>
      </c>
      <c r="K39" t="s">
        <v>489</v>
      </c>
      <c r="L39" t="s">
        <v>490</v>
      </c>
      <c r="M39" t="s">
        <v>490</v>
      </c>
      <c r="N39" t="s">
        <v>489</v>
      </c>
      <c r="O39" t="s">
        <v>489</v>
      </c>
      <c r="P39" t="s">
        <v>490</v>
      </c>
      <c r="Q39" t="s">
        <v>489</v>
      </c>
      <c r="R39" t="s">
        <v>490</v>
      </c>
      <c r="S39" t="s">
        <v>490</v>
      </c>
      <c r="T39" t="s">
        <v>489</v>
      </c>
      <c r="U39" t="s">
        <v>490</v>
      </c>
      <c r="V39" t="s">
        <v>490</v>
      </c>
      <c r="W39" t="s">
        <v>489</v>
      </c>
      <c r="X39" t="s">
        <v>490</v>
      </c>
      <c r="Y39" t="s">
        <v>490</v>
      </c>
    </row>
    <row r="40" spans="1:25">
      <c r="A40" t="s">
        <v>972</v>
      </c>
      <c r="B40" t="s">
        <v>489</v>
      </c>
      <c r="C40" t="s">
        <v>490</v>
      </c>
      <c r="D40" t="s">
        <v>490</v>
      </c>
      <c r="E40" t="s">
        <v>489</v>
      </c>
      <c r="F40" t="s">
        <v>490</v>
      </c>
      <c r="G40" t="s">
        <v>490</v>
      </c>
      <c r="H40" t="s">
        <v>489</v>
      </c>
      <c r="I40" t="s">
        <v>490</v>
      </c>
      <c r="J40" t="s">
        <v>490</v>
      </c>
      <c r="K40" t="s">
        <v>489</v>
      </c>
      <c r="L40" t="s">
        <v>490</v>
      </c>
      <c r="M40" t="s">
        <v>490</v>
      </c>
      <c r="N40" t="s">
        <v>489</v>
      </c>
      <c r="O40" t="s">
        <v>489</v>
      </c>
      <c r="P40" t="s">
        <v>490</v>
      </c>
      <c r="Q40" t="s">
        <v>489</v>
      </c>
      <c r="R40" t="s">
        <v>490</v>
      </c>
      <c r="S40" t="s">
        <v>490</v>
      </c>
      <c r="T40" t="s">
        <v>489</v>
      </c>
      <c r="U40" t="s">
        <v>490</v>
      </c>
      <c r="V40" t="s">
        <v>490</v>
      </c>
      <c r="W40" t="s">
        <v>489</v>
      </c>
      <c r="X40" t="s">
        <v>490</v>
      </c>
      <c r="Y40" t="s">
        <v>490</v>
      </c>
    </row>
    <row r="41" spans="1:25">
      <c r="A41" t="s">
        <v>974</v>
      </c>
      <c r="B41" t="s">
        <v>489</v>
      </c>
      <c r="C41" t="s">
        <v>490</v>
      </c>
      <c r="D41" t="s">
        <v>490</v>
      </c>
      <c r="E41" t="s">
        <v>489</v>
      </c>
      <c r="F41" t="s">
        <v>490</v>
      </c>
      <c r="G41" t="s">
        <v>490</v>
      </c>
      <c r="H41" t="s">
        <v>489</v>
      </c>
      <c r="I41" t="s">
        <v>490</v>
      </c>
      <c r="J41" t="s">
        <v>490</v>
      </c>
      <c r="K41" t="s">
        <v>489</v>
      </c>
      <c r="L41" t="s">
        <v>490</v>
      </c>
      <c r="M41" t="s">
        <v>490</v>
      </c>
      <c r="N41" t="s">
        <v>489</v>
      </c>
      <c r="O41" t="s">
        <v>489</v>
      </c>
      <c r="P41" t="s">
        <v>490</v>
      </c>
      <c r="Q41" t="s">
        <v>489</v>
      </c>
      <c r="R41" t="s">
        <v>490</v>
      </c>
      <c r="S41" t="s">
        <v>490</v>
      </c>
      <c r="T41" t="s">
        <v>489</v>
      </c>
      <c r="U41" t="s">
        <v>490</v>
      </c>
      <c r="V41" t="s">
        <v>490</v>
      </c>
      <c r="W41" t="s">
        <v>489</v>
      </c>
      <c r="X41" t="s">
        <v>490</v>
      </c>
      <c r="Y41" t="s">
        <v>490</v>
      </c>
    </row>
    <row r="42" spans="1:25">
      <c r="A42" t="s">
        <v>972</v>
      </c>
      <c r="B42" t="s">
        <v>489</v>
      </c>
      <c r="C42" t="s">
        <v>490</v>
      </c>
      <c r="D42" t="s">
        <v>490</v>
      </c>
      <c r="E42" t="s">
        <v>490</v>
      </c>
      <c r="F42" t="s">
        <v>490</v>
      </c>
      <c r="G42" t="s">
        <v>489</v>
      </c>
      <c r="H42" t="s">
        <v>489</v>
      </c>
      <c r="I42" t="s">
        <v>490</v>
      </c>
      <c r="J42" t="s">
        <v>490</v>
      </c>
      <c r="K42" t="s">
        <v>489</v>
      </c>
      <c r="L42" t="s">
        <v>490</v>
      </c>
      <c r="M42" t="s">
        <v>490</v>
      </c>
      <c r="N42" t="s">
        <v>489</v>
      </c>
      <c r="O42" t="s">
        <v>489</v>
      </c>
      <c r="P42" t="s">
        <v>490</v>
      </c>
      <c r="Q42" t="s">
        <v>489</v>
      </c>
      <c r="R42" t="s">
        <v>490</v>
      </c>
      <c r="S42" t="s">
        <v>490</v>
      </c>
      <c r="T42" t="s">
        <v>489</v>
      </c>
      <c r="U42" t="s">
        <v>490</v>
      </c>
      <c r="V42" t="s">
        <v>490</v>
      </c>
      <c r="W42" t="s">
        <v>489</v>
      </c>
      <c r="X42" t="s">
        <v>490</v>
      </c>
      <c r="Y42" t="s">
        <v>490</v>
      </c>
    </row>
    <row r="43" spans="1:25">
      <c r="A43" t="s">
        <v>972</v>
      </c>
      <c r="B43" t="s">
        <v>489</v>
      </c>
      <c r="C43" t="s">
        <v>490</v>
      </c>
      <c r="D43" t="s">
        <v>490</v>
      </c>
      <c r="E43" t="s">
        <v>489</v>
      </c>
      <c r="F43" t="s">
        <v>490</v>
      </c>
      <c r="G43" t="s">
        <v>490</v>
      </c>
      <c r="H43" t="s">
        <v>489</v>
      </c>
      <c r="I43" t="s">
        <v>490</v>
      </c>
      <c r="J43" t="s">
        <v>490</v>
      </c>
      <c r="K43" t="s">
        <v>490</v>
      </c>
      <c r="L43" t="s">
        <v>490</v>
      </c>
      <c r="M43" t="s">
        <v>489</v>
      </c>
      <c r="N43" t="s">
        <v>489</v>
      </c>
      <c r="O43" t="s">
        <v>490</v>
      </c>
      <c r="P43" t="s">
        <v>490</v>
      </c>
      <c r="Q43" t="s">
        <v>489</v>
      </c>
      <c r="R43" t="s">
        <v>490</v>
      </c>
      <c r="S43" t="s">
        <v>490</v>
      </c>
      <c r="T43" t="s">
        <v>489</v>
      </c>
      <c r="U43" t="s">
        <v>490</v>
      </c>
      <c r="V43" t="s">
        <v>490</v>
      </c>
      <c r="W43" t="s">
        <v>489</v>
      </c>
      <c r="X43" t="s">
        <v>490</v>
      </c>
      <c r="Y43" t="s">
        <v>490</v>
      </c>
    </row>
    <row r="44" spans="1:25">
      <c r="A44" t="s">
        <v>972</v>
      </c>
      <c r="B44" t="s">
        <v>489</v>
      </c>
      <c r="C44" t="s">
        <v>490</v>
      </c>
      <c r="D44" t="s">
        <v>490</v>
      </c>
      <c r="E44" t="s">
        <v>489</v>
      </c>
      <c r="F44" t="s">
        <v>490</v>
      </c>
      <c r="G44" t="s">
        <v>490</v>
      </c>
      <c r="H44" t="s">
        <v>489</v>
      </c>
      <c r="I44" t="s">
        <v>490</v>
      </c>
      <c r="J44" t="s">
        <v>490</v>
      </c>
      <c r="K44" t="s">
        <v>489</v>
      </c>
      <c r="L44" t="s">
        <v>489</v>
      </c>
      <c r="M44" t="s">
        <v>490</v>
      </c>
      <c r="N44" t="s">
        <v>489</v>
      </c>
      <c r="O44" t="s">
        <v>489</v>
      </c>
      <c r="P44" t="s">
        <v>490</v>
      </c>
      <c r="Q44" t="s">
        <v>489</v>
      </c>
      <c r="R44" t="s">
        <v>489</v>
      </c>
      <c r="S44" t="s">
        <v>490</v>
      </c>
      <c r="T44" t="s">
        <v>490</v>
      </c>
      <c r="U44" t="s">
        <v>490</v>
      </c>
      <c r="V44" t="s">
        <v>489</v>
      </c>
      <c r="W44" t="s">
        <v>489</v>
      </c>
      <c r="X44" t="s">
        <v>490</v>
      </c>
      <c r="Y44" t="s">
        <v>490</v>
      </c>
    </row>
    <row r="45" spans="1:25">
      <c r="A45" t="s">
        <v>974</v>
      </c>
      <c r="B45" t="s">
        <v>489</v>
      </c>
      <c r="C45" t="s">
        <v>489</v>
      </c>
      <c r="D45" t="s">
        <v>490</v>
      </c>
      <c r="E45" t="s">
        <v>489</v>
      </c>
      <c r="F45" t="s">
        <v>489</v>
      </c>
      <c r="G45" t="s">
        <v>490</v>
      </c>
      <c r="H45" t="s">
        <v>489</v>
      </c>
      <c r="I45" t="s">
        <v>489</v>
      </c>
      <c r="J45" t="s">
        <v>490</v>
      </c>
      <c r="K45" t="s">
        <v>490</v>
      </c>
      <c r="L45" t="s">
        <v>490</v>
      </c>
      <c r="M45" t="s">
        <v>489</v>
      </c>
      <c r="N45" t="s">
        <v>489</v>
      </c>
      <c r="O45" t="s">
        <v>489</v>
      </c>
      <c r="P45" t="s">
        <v>490</v>
      </c>
      <c r="Q45" t="s">
        <v>489</v>
      </c>
      <c r="R45" t="s">
        <v>489</v>
      </c>
      <c r="S45" t="s">
        <v>490</v>
      </c>
      <c r="T45" t="s">
        <v>490</v>
      </c>
      <c r="U45" t="s">
        <v>490</v>
      </c>
      <c r="V45" t="s">
        <v>489</v>
      </c>
      <c r="W45" t="s">
        <v>489</v>
      </c>
      <c r="X45" t="s">
        <v>490</v>
      </c>
      <c r="Y45" t="s">
        <v>490</v>
      </c>
    </row>
    <row r="46" spans="1:25">
      <c r="A46" t="s">
        <v>972</v>
      </c>
      <c r="B46" t="s">
        <v>489</v>
      </c>
      <c r="C46" t="s">
        <v>489</v>
      </c>
      <c r="D46" t="s">
        <v>490</v>
      </c>
      <c r="E46" t="s">
        <v>490</v>
      </c>
      <c r="F46" t="s">
        <v>490</v>
      </c>
      <c r="G46" t="s">
        <v>489</v>
      </c>
      <c r="H46" t="s">
        <v>489</v>
      </c>
      <c r="I46" t="s">
        <v>490</v>
      </c>
      <c r="J46" t="s">
        <v>490</v>
      </c>
      <c r="K46" t="s">
        <v>489</v>
      </c>
      <c r="L46" t="s">
        <v>489</v>
      </c>
      <c r="M46" t="s">
        <v>490</v>
      </c>
      <c r="N46" t="s">
        <v>489</v>
      </c>
      <c r="O46" t="s">
        <v>489</v>
      </c>
      <c r="P46" t="s">
        <v>490</v>
      </c>
      <c r="Q46" t="s">
        <v>489</v>
      </c>
      <c r="R46" t="s">
        <v>490</v>
      </c>
      <c r="S46" t="s">
        <v>490</v>
      </c>
      <c r="T46" t="s">
        <v>490</v>
      </c>
      <c r="U46" t="s">
        <v>490</v>
      </c>
      <c r="V46" t="s">
        <v>489</v>
      </c>
      <c r="W46" t="s">
        <v>489</v>
      </c>
      <c r="X46" t="s">
        <v>490</v>
      </c>
      <c r="Y46" t="s">
        <v>490</v>
      </c>
    </row>
    <row r="47" spans="1:25">
      <c r="A47" t="s">
        <v>972</v>
      </c>
      <c r="B47" t="s">
        <v>489</v>
      </c>
      <c r="C47" t="s">
        <v>490</v>
      </c>
      <c r="D47" t="s">
        <v>490</v>
      </c>
      <c r="E47" t="s">
        <v>489</v>
      </c>
      <c r="F47" t="s">
        <v>490</v>
      </c>
      <c r="G47" t="s">
        <v>490</v>
      </c>
      <c r="H47" t="s">
        <v>489</v>
      </c>
      <c r="I47" t="s">
        <v>490</v>
      </c>
      <c r="J47" t="s">
        <v>490</v>
      </c>
      <c r="K47" t="s">
        <v>489</v>
      </c>
      <c r="L47" t="s">
        <v>490</v>
      </c>
      <c r="M47" t="s">
        <v>490</v>
      </c>
      <c r="N47" t="s">
        <v>489</v>
      </c>
      <c r="O47" t="s">
        <v>489</v>
      </c>
      <c r="P47" t="s">
        <v>490</v>
      </c>
      <c r="Q47" t="s">
        <v>489</v>
      </c>
      <c r="R47" t="s">
        <v>490</v>
      </c>
      <c r="S47" t="s">
        <v>490</v>
      </c>
      <c r="T47" t="s">
        <v>490</v>
      </c>
      <c r="U47" t="s">
        <v>490</v>
      </c>
      <c r="V47" t="s">
        <v>489</v>
      </c>
      <c r="W47" t="s">
        <v>489</v>
      </c>
      <c r="X47" t="s">
        <v>490</v>
      </c>
      <c r="Y47" t="s">
        <v>490</v>
      </c>
    </row>
    <row r="48" spans="1:25">
      <c r="A48" t="s">
        <v>974</v>
      </c>
      <c r="B48" t="s">
        <v>489</v>
      </c>
      <c r="C48" t="s">
        <v>490</v>
      </c>
      <c r="D48" t="s">
        <v>490</v>
      </c>
      <c r="E48" t="s">
        <v>490</v>
      </c>
      <c r="F48" t="s">
        <v>490</v>
      </c>
      <c r="G48" t="s">
        <v>489</v>
      </c>
      <c r="H48" t="s">
        <v>489</v>
      </c>
      <c r="I48" t="s">
        <v>490</v>
      </c>
      <c r="J48" t="s">
        <v>490</v>
      </c>
      <c r="K48" t="s">
        <v>489</v>
      </c>
      <c r="L48" t="s">
        <v>490</v>
      </c>
      <c r="M48" t="s">
        <v>490</v>
      </c>
      <c r="N48" t="s">
        <v>489</v>
      </c>
      <c r="O48" t="s">
        <v>489</v>
      </c>
      <c r="P48" t="s">
        <v>490</v>
      </c>
      <c r="Q48" t="s">
        <v>489</v>
      </c>
      <c r="R48" t="s">
        <v>490</v>
      </c>
      <c r="S48" t="s">
        <v>490</v>
      </c>
      <c r="T48" t="s">
        <v>490</v>
      </c>
      <c r="U48" t="s">
        <v>490</v>
      </c>
      <c r="V48" t="s">
        <v>489</v>
      </c>
      <c r="W48" t="s">
        <v>489</v>
      </c>
      <c r="X48" t="s">
        <v>490</v>
      </c>
      <c r="Y48" t="s">
        <v>490</v>
      </c>
    </row>
    <row r="49" spans="1:25">
      <c r="A49" t="s">
        <v>974</v>
      </c>
      <c r="B49" t="s">
        <v>489</v>
      </c>
      <c r="C49" t="s">
        <v>490</v>
      </c>
      <c r="D49" t="s">
        <v>490</v>
      </c>
      <c r="E49" t="s">
        <v>489</v>
      </c>
      <c r="F49" t="s">
        <v>490</v>
      </c>
      <c r="G49" t="s">
        <v>490</v>
      </c>
      <c r="H49" t="s">
        <v>489</v>
      </c>
      <c r="I49" t="s">
        <v>490</v>
      </c>
      <c r="J49" t="s">
        <v>490</v>
      </c>
      <c r="K49" t="s">
        <v>490</v>
      </c>
      <c r="L49" t="s">
        <v>490</v>
      </c>
      <c r="M49" t="s">
        <v>489</v>
      </c>
      <c r="N49" t="s">
        <v>489</v>
      </c>
      <c r="O49" t="s">
        <v>489</v>
      </c>
      <c r="P49" t="s">
        <v>490</v>
      </c>
      <c r="Q49" t="s">
        <v>489</v>
      </c>
      <c r="R49" t="s">
        <v>490</v>
      </c>
      <c r="S49" t="s">
        <v>490</v>
      </c>
      <c r="T49" t="s">
        <v>490</v>
      </c>
      <c r="U49" t="s">
        <v>490</v>
      </c>
      <c r="V49" t="s">
        <v>489</v>
      </c>
      <c r="W49" t="s">
        <v>489</v>
      </c>
      <c r="X49" t="s">
        <v>490</v>
      </c>
      <c r="Y49" t="s">
        <v>490</v>
      </c>
    </row>
    <row r="50" spans="1:25">
      <c r="A50" t="s">
        <v>972</v>
      </c>
      <c r="B50" t="s">
        <v>489</v>
      </c>
      <c r="C50" t="s">
        <v>490</v>
      </c>
      <c r="D50" t="s">
        <v>490</v>
      </c>
      <c r="E50" t="s">
        <v>489</v>
      </c>
      <c r="F50" t="s">
        <v>490</v>
      </c>
      <c r="G50" t="s">
        <v>490</v>
      </c>
      <c r="H50" t="s">
        <v>489</v>
      </c>
      <c r="I50" t="s">
        <v>490</v>
      </c>
      <c r="J50" t="s">
        <v>490</v>
      </c>
      <c r="K50" t="s">
        <v>489</v>
      </c>
      <c r="L50" t="s">
        <v>490</v>
      </c>
      <c r="M50" t="s">
        <v>490</v>
      </c>
      <c r="N50" t="s">
        <v>489</v>
      </c>
      <c r="O50" t="s">
        <v>490</v>
      </c>
      <c r="P50" t="s">
        <v>490</v>
      </c>
      <c r="Q50" t="s">
        <v>489</v>
      </c>
      <c r="R50" t="s">
        <v>490</v>
      </c>
      <c r="S50" t="s">
        <v>490</v>
      </c>
      <c r="T50" t="s">
        <v>490</v>
      </c>
      <c r="U50" t="s">
        <v>490</v>
      </c>
      <c r="V50" t="s">
        <v>489</v>
      </c>
      <c r="W50" t="s">
        <v>489</v>
      </c>
      <c r="X50" t="s">
        <v>490</v>
      </c>
      <c r="Y50" t="s">
        <v>490</v>
      </c>
    </row>
    <row r="51" spans="1:25">
      <c r="A51" t="s">
        <v>972</v>
      </c>
      <c r="B51" t="s">
        <v>489</v>
      </c>
      <c r="C51" t="s">
        <v>490</v>
      </c>
      <c r="D51" t="s">
        <v>490</v>
      </c>
      <c r="E51" t="s">
        <v>489</v>
      </c>
      <c r="F51" t="s">
        <v>490</v>
      </c>
      <c r="G51" t="s">
        <v>490</v>
      </c>
      <c r="H51" t="s">
        <v>489</v>
      </c>
      <c r="I51" t="s">
        <v>490</v>
      </c>
      <c r="J51" t="s">
        <v>490</v>
      </c>
      <c r="K51" t="s">
        <v>489</v>
      </c>
      <c r="L51" t="s">
        <v>490</v>
      </c>
      <c r="M51" t="s">
        <v>490</v>
      </c>
      <c r="N51" t="s">
        <v>489</v>
      </c>
      <c r="O51" t="s">
        <v>490</v>
      </c>
      <c r="P51" t="s">
        <v>490</v>
      </c>
      <c r="Q51" t="s">
        <v>489</v>
      </c>
      <c r="R51" t="s">
        <v>490</v>
      </c>
      <c r="S51" t="s">
        <v>490</v>
      </c>
      <c r="T51" t="s">
        <v>490</v>
      </c>
      <c r="U51" t="s">
        <v>490</v>
      </c>
      <c r="V51" t="s">
        <v>489</v>
      </c>
      <c r="W51" t="s">
        <v>489</v>
      </c>
      <c r="X51" t="s">
        <v>490</v>
      </c>
      <c r="Y51" t="s">
        <v>490</v>
      </c>
    </row>
    <row r="52" spans="1:25">
      <c r="A52" t="s">
        <v>972</v>
      </c>
      <c r="B52" t="s">
        <v>489</v>
      </c>
      <c r="C52" t="s">
        <v>490</v>
      </c>
      <c r="D52" t="s">
        <v>490</v>
      </c>
      <c r="E52" t="s">
        <v>489</v>
      </c>
      <c r="F52" t="s">
        <v>490</v>
      </c>
      <c r="G52" t="s">
        <v>490</v>
      </c>
      <c r="H52" t="s">
        <v>489</v>
      </c>
      <c r="I52" t="s">
        <v>490</v>
      </c>
      <c r="J52" t="s">
        <v>490</v>
      </c>
      <c r="K52" t="s">
        <v>489</v>
      </c>
      <c r="L52" t="s">
        <v>490</v>
      </c>
      <c r="M52" t="s">
        <v>490</v>
      </c>
      <c r="N52" t="s">
        <v>489</v>
      </c>
      <c r="O52" t="s">
        <v>490</v>
      </c>
      <c r="P52" t="s">
        <v>490</v>
      </c>
      <c r="Q52" t="s">
        <v>489</v>
      </c>
      <c r="R52" t="s">
        <v>490</v>
      </c>
      <c r="S52" t="s">
        <v>490</v>
      </c>
      <c r="T52" t="s">
        <v>490</v>
      </c>
      <c r="U52" t="s">
        <v>490</v>
      </c>
      <c r="V52" t="s">
        <v>489</v>
      </c>
      <c r="W52" t="s">
        <v>489</v>
      </c>
      <c r="X52" t="s">
        <v>490</v>
      </c>
      <c r="Y52" t="s">
        <v>490</v>
      </c>
    </row>
    <row r="53" spans="1:25">
      <c r="A53" t="s">
        <v>974</v>
      </c>
      <c r="B53" t="s">
        <v>489</v>
      </c>
      <c r="C53" t="s">
        <v>490</v>
      </c>
      <c r="D53" t="s">
        <v>490</v>
      </c>
      <c r="E53" t="s">
        <v>489</v>
      </c>
      <c r="F53" t="s">
        <v>490</v>
      </c>
      <c r="G53" t="s">
        <v>490</v>
      </c>
      <c r="H53" t="s">
        <v>489</v>
      </c>
      <c r="I53" t="s">
        <v>490</v>
      </c>
      <c r="J53" t="s">
        <v>490</v>
      </c>
      <c r="K53" t="s">
        <v>489</v>
      </c>
      <c r="L53" t="s">
        <v>490</v>
      </c>
      <c r="M53" t="s">
        <v>490</v>
      </c>
      <c r="N53" t="s">
        <v>489</v>
      </c>
      <c r="O53" t="s">
        <v>490</v>
      </c>
      <c r="P53" t="s">
        <v>490</v>
      </c>
      <c r="Q53" t="s">
        <v>489</v>
      </c>
      <c r="R53" t="s">
        <v>490</v>
      </c>
      <c r="S53" t="s">
        <v>490</v>
      </c>
      <c r="T53" t="s">
        <v>490</v>
      </c>
      <c r="U53" t="s">
        <v>490</v>
      </c>
      <c r="V53" t="s">
        <v>489</v>
      </c>
      <c r="W53" t="s">
        <v>489</v>
      </c>
      <c r="X53" t="s">
        <v>490</v>
      </c>
      <c r="Y53" t="s">
        <v>490</v>
      </c>
    </row>
    <row r="54" spans="1:25">
      <c r="A54" t="s">
        <v>972</v>
      </c>
      <c r="B54" t="s">
        <v>489</v>
      </c>
      <c r="C54" t="s">
        <v>490</v>
      </c>
      <c r="D54" t="s">
        <v>490</v>
      </c>
      <c r="E54" t="s">
        <v>489</v>
      </c>
      <c r="F54" t="s">
        <v>490</v>
      </c>
      <c r="G54" t="s">
        <v>490</v>
      </c>
      <c r="H54" t="s">
        <v>489</v>
      </c>
      <c r="I54" t="s">
        <v>490</v>
      </c>
      <c r="J54" t="s">
        <v>490</v>
      </c>
      <c r="K54" t="s">
        <v>489</v>
      </c>
      <c r="L54" t="s">
        <v>490</v>
      </c>
      <c r="M54" t="s">
        <v>490</v>
      </c>
      <c r="N54" t="s">
        <v>489</v>
      </c>
      <c r="O54" t="s">
        <v>490</v>
      </c>
      <c r="P54" t="s">
        <v>490</v>
      </c>
      <c r="Q54" t="s">
        <v>489</v>
      </c>
      <c r="R54" t="s">
        <v>490</v>
      </c>
      <c r="S54" t="s">
        <v>490</v>
      </c>
      <c r="T54" t="s">
        <v>490</v>
      </c>
      <c r="U54" t="s">
        <v>490</v>
      </c>
      <c r="V54" t="s">
        <v>489</v>
      </c>
      <c r="W54" t="s">
        <v>489</v>
      </c>
      <c r="X54" t="s">
        <v>490</v>
      </c>
      <c r="Y54" t="s">
        <v>490</v>
      </c>
    </row>
    <row r="55" spans="1:25">
      <c r="A55" t="s">
        <v>972</v>
      </c>
      <c r="B55" t="s">
        <v>489</v>
      </c>
      <c r="C55" t="s">
        <v>490</v>
      </c>
      <c r="D55" t="s">
        <v>490</v>
      </c>
      <c r="E55" t="s">
        <v>490</v>
      </c>
      <c r="F55" t="s">
        <v>490</v>
      </c>
      <c r="G55" t="s">
        <v>489</v>
      </c>
      <c r="H55" t="s">
        <v>489</v>
      </c>
      <c r="I55" t="s">
        <v>490</v>
      </c>
      <c r="J55" t="s">
        <v>490</v>
      </c>
      <c r="K55" t="s">
        <v>489</v>
      </c>
      <c r="L55" t="s">
        <v>490</v>
      </c>
      <c r="M55" t="s">
        <v>490</v>
      </c>
      <c r="N55" t="s">
        <v>489</v>
      </c>
      <c r="O55" t="s">
        <v>490</v>
      </c>
      <c r="P55" t="s">
        <v>490</v>
      </c>
      <c r="Q55" t="s">
        <v>489</v>
      </c>
      <c r="R55" t="s">
        <v>490</v>
      </c>
      <c r="S55" t="s">
        <v>490</v>
      </c>
      <c r="T55" t="s">
        <v>490</v>
      </c>
      <c r="U55" t="s">
        <v>490</v>
      </c>
      <c r="V55" t="s">
        <v>489</v>
      </c>
      <c r="W55" t="s">
        <v>489</v>
      </c>
      <c r="X55" t="s">
        <v>490</v>
      </c>
      <c r="Y55" t="s">
        <v>490</v>
      </c>
    </row>
    <row r="56" spans="1:25">
      <c r="A56" t="s">
        <v>974</v>
      </c>
      <c r="B56" t="s">
        <v>489</v>
      </c>
      <c r="C56" t="s">
        <v>490</v>
      </c>
      <c r="D56" t="s">
        <v>490</v>
      </c>
      <c r="E56" t="s">
        <v>490</v>
      </c>
      <c r="F56" t="s">
        <v>490</v>
      </c>
      <c r="G56" t="s">
        <v>489</v>
      </c>
      <c r="H56" t="s">
        <v>490</v>
      </c>
      <c r="I56" t="s">
        <v>490</v>
      </c>
      <c r="J56" t="s">
        <v>489</v>
      </c>
      <c r="K56" t="s">
        <v>489</v>
      </c>
      <c r="L56" t="s">
        <v>490</v>
      </c>
      <c r="M56" t="s">
        <v>490</v>
      </c>
      <c r="N56" t="s">
        <v>489</v>
      </c>
      <c r="O56" t="s">
        <v>490</v>
      </c>
      <c r="P56" t="s">
        <v>490</v>
      </c>
      <c r="Q56" t="s">
        <v>489</v>
      </c>
      <c r="R56" t="s">
        <v>490</v>
      </c>
      <c r="S56" t="s">
        <v>490</v>
      </c>
      <c r="T56" t="s">
        <v>490</v>
      </c>
      <c r="U56" t="s">
        <v>490</v>
      </c>
      <c r="V56" t="s">
        <v>489</v>
      </c>
      <c r="W56" t="s">
        <v>489</v>
      </c>
      <c r="X56" t="s">
        <v>490</v>
      </c>
      <c r="Y56" t="s">
        <v>490</v>
      </c>
    </row>
    <row r="57" spans="1:25">
      <c r="A57" t="s">
        <v>972</v>
      </c>
      <c r="B57" t="s">
        <v>489</v>
      </c>
      <c r="C57" t="s">
        <v>490</v>
      </c>
      <c r="D57" t="s">
        <v>490</v>
      </c>
      <c r="E57" t="s">
        <v>489</v>
      </c>
      <c r="F57" t="s">
        <v>490</v>
      </c>
      <c r="G57" t="s">
        <v>490</v>
      </c>
      <c r="H57" t="s">
        <v>489</v>
      </c>
      <c r="I57" t="s">
        <v>490</v>
      </c>
      <c r="J57" t="s">
        <v>490</v>
      </c>
      <c r="K57" t="s">
        <v>490</v>
      </c>
      <c r="L57" t="s">
        <v>490</v>
      </c>
      <c r="M57" t="s">
        <v>489</v>
      </c>
      <c r="N57" t="s">
        <v>489</v>
      </c>
      <c r="O57" t="s">
        <v>490</v>
      </c>
      <c r="P57" t="s">
        <v>490</v>
      </c>
      <c r="Q57" t="s">
        <v>489</v>
      </c>
      <c r="R57" t="s">
        <v>490</v>
      </c>
      <c r="S57" t="s">
        <v>490</v>
      </c>
      <c r="T57" t="s">
        <v>490</v>
      </c>
      <c r="U57" t="s">
        <v>490</v>
      </c>
      <c r="V57" t="s">
        <v>489</v>
      </c>
      <c r="W57" t="s">
        <v>489</v>
      </c>
      <c r="X57" t="s">
        <v>490</v>
      </c>
      <c r="Y57" t="s">
        <v>490</v>
      </c>
    </row>
    <row r="58" spans="1:25">
      <c r="A58" t="s">
        <v>972</v>
      </c>
      <c r="B58" t="s">
        <v>489</v>
      </c>
      <c r="C58" t="s">
        <v>490</v>
      </c>
      <c r="D58" t="s">
        <v>490</v>
      </c>
      <c r="E58" t="s">
        <v>489</v>
      </c>
      <c r="F58" t="s">
        <v>489</v>
      </c>
      <c r="G58" t="s">
        <v>490</v>
      </c>
      <c r="H58" t="s">
        <v>489</v>
      </c>
      <c r="I58" t="s">
        <v>489</v>
      </c>
      <c r="J58" t="s">
        <v>490</v>
      </c>
      <c r="K58" t="s">
        <v>489</v>
      </c>
      <c r="L58" t="s">
        <v>490</v>
      </c>
      <c r="M58" t="s">
        <v>490</v>
      </c>
      <c r="N58" t="s">
        <v>489</v>
      </c>
      <c r="O58" t="s">
        <v>489</v>
      </c>
      <c r="P58" t="s">
        <v>490</v>
      </c>
      <c r="Q58" t="s">
        <v>490</v>
      </c>
      <c r="R58" t="s">
        <v>490</v>
      </c>
      <c r="S58" t="s">
        <v>489</v>
      </c>
      <c r="T58" t="s">
        <v>490</v>
      </c>
      <c r="U58" t="s">
        <v>490</v>
      </c>
      <c r="V58" t="s">
        <v>489</v>
      </c>
      <c r="W58" t="s">
        <v>489</v>
      </c>
      <c r="X58" t="s">
        <v>490</v>
      </c>
      <c r="Y58" t="s">
        <v>490</v>
      </c>
    </row>
    <row r="59" spans="1:25">
      <c r="A59" t="s">
        <v>974</v>
      </c>
      <c r="B59" t="s">
        <v>490</v>
      </c>
      <c r="C59" t="s">
        <v>490</v>
      </c>
      <c r="D59" t="s">
        <v>489</v>
      </c>
      <c r="E59" t="s">
        <v>490</v>
      </c>
      <c r="F59" t="s">
        <v>490</v>
      </c>
      <c r="G59" t="s">
        <v>489</v>
      </c>
      <c r="H59" t="s">
        <v>489</v>
      </c>
      <c r="I59" t="s">
        <v>489</v>
      </c>
      <c r="J59" t="s">
        <v>490</v>
      </c>
      <c r="K59" t="s">
        <v>490</v>
      </c>
      <c r="L59" t="s">
        <v>490</v>
      </c>
      <c r="M59" t="s">
        <v>489</v>
      </c>
      <c r="N59" t="s">
        <v>489</v>
      </c>
      <c r="O59" t="s">
        <v>489</v>
      </c>
      <c r="P59" t="s">
        <v>490</v>
      </c>
      <c r="Q59" t="s">
        <v>490</v>
      </c>
      <c r="R59" t="s">
        <v>490</v>
      </c>
      <c r="S59" t="s">
        <v>489</v>
      </c>
      <c r="T59" t="s">
        <v>490</v>
      </c>
      <c r="U59" t="s">
        <v>490</v>
      </c>
      <c r="V59" t="s">
        <v>489</v>
      </c>
      <c r="W59" t="s">
        <v>489</v>
      </c>
      <c r="X59" t="s">
        <v>490</v>
      </c>
      <c r="Y59" t="s">
        <v>490</v>
      </c>
    </row>
    <row r="60" spans="1:25">
      <c r="A60" t="s">
        <v>972</v>
      </c>
      <c r="B60" t="s">
        <v>489</v>
      </c>
      <c r="C60" t="s">
        <v>490</v>
      </c>
      <c r="D60" t="s">
        <v>490</v>
      </c>
      <c r="E60" t="s">
        <v>489</v>
      </c>
      <c r="F60" t="s">
        <v>490</v>
      </c>
      <c r="G60" t="s">
        <v>490</v>
      </c>
      <c r="H60" t="s">
        <v>489</v>
      </c>
      <c r="I60" t="s">
        <v>490</v>
      </c>
      <c r="J60" t="s">
        <v>490</v>
      </c>
      <c r="K60" t="s">
        <v>489</v>
      </c>
      <c r="L60" t="s">
        <v>490</v>
      </c>
      <c r="M60" t="s">
        <v>490</v>
      </c>
      <c r="N60" t="s">
        <v>489</v>
      </c>
      <c r="O60" t="s">
        <v>490</v>
      </c>
      <c r="P60" t="s">
        <v>490</v>
      </c>
      <c r="Q60" t="s">
        <v>490</v>
      </c>
      <c r="R60" t="s">
        <v>490</v>
      </c>
      <c r="S60" t="s">
        <v>489</v>
      </c>
      <c r="T60" t="s">
        <v>490</v>
      </c>
      <c r="U60" t="s">
        <v>490</v>
      </c>
      <c r="V60" t="s">
        <v>489</v>
      </c>
      <c r="W60" t="s">
        <v>489</v>
      </c>
      <c r="X60" t="s">
        <v>490</v>
      </c>
      <c r="Y60" t="s">
        <v>490</v>
      </c>
    </row>
    <row r="61" spans="1:25">
      <c r="A61" t="s">
        <v>972</v>
      </c>
      <c r="B61" t="s">
        <v>490</v>
      </c>
      <c r="C61" t="s">
        <v>490</v>
      </c>
      <c r="D61" t="s">
        <v>489</v>
      </c>
      <c r="E61" t="s">
        <v>489</v>
      </c>
      <c r="F61" t="s">
        <v>489</v>
      </c>
      <c r="G61" t="s">
        <v>490</v>
      </c>
      <c r="H61" t="s">
        <v>490</v>
      </c>
      <c r="I61" t="s">
        <v>490</v>
      </c>
      <c r="J61" t="s">
        <v>489</v>
      </c>
      <c r="K61" t="s">
        <v>490</v>
      </c>
      <c r="L61" t="s">
        <v>490</v>
      </c>
      <c r="M61" t="s">
        <v>489</v>
      </c>
      <c r="N61" t="s">
        <v>490</v>
      </c>
      <c r="O61" t="s">
        <v>490</v>
      </c>
      <c r="P61" t="s">
        <v>489</v>
      </c>
      <c r="Q61" t="s">
        <v>490</v>
      </c>
      <c r="R61" t="s">
        <v>490</v>
      </c>
      <c r="S61" t="s">
        <v>489</v>
      </c>
      <c r="T61" t="s">
        <v>490</v>
      </c>
      <c r="U61" t="s">
        <v>490</v>
      </c>
      <c r="V61" t="s">
        <v>489</v>
      </c>
      <c r="W61" t="s">
        <v>489</v>
      </c>
      <c r="X61" t="s">
        <v>490</v>
      </c>
      <c r="Y61" t="s">
        <v>490</v>
      </c>
    </row>
    <row r="62" spans="1:25">
      <c r="A62" t="s">
        <v>973</v>
      </c>
      <c r="B62" t="s">
        <v>489</v>
      </c>
      <c r="C62" t="s">
        <v>489</v>
      </c>
      <c r="D62" t="s">
        <v>490</v>
      </c>
      <c r="E62" t="s">
        <v>489</v>
      </c>
      <c r="F62" t="s">
        <v>489</v>
      </c>
      <c r="G62" t="s">
        <v>490</v>
      </c>
      <c r="H62" t="s">
        <v>489</v>
      </c>
      <c r="I62" t="s">
        <v>489</v>
      </c>
      <c r="J62" t="s">
        <v>490</v>
      </c>
      <c r="K62" t="s">
        <v>490</v>
      </c>
      <c r="L62" t="s">
        <v>490</v>
      </c>
      <c r="M62" t="s">
        <v>489</v>
      </c>
      <c r="N62" t="s">
        <v>489</v>
      </c>
      <c r="O62" t="s">
        <v>489</v>
      </c>
      <c r="P62" t="s">
        <v>490</v>
      </c>
      <c r="Q62" t="s">
        <v>489</v>
      </c>
      <c r="R62" t="s">
        <v>489</v>
      </c>
      <c r="S62" t="s">
        <v>490</v>
      </c>
      <c r="T62" t="s">
        <v>489</v>
      </c>
      <c r="U62" t="s">
        <v>489</v>
      </c>
      <c r="V62" t="s">
        <v>490</v>
      </c>
      <c r="W62" t="s">
        <v>490</v>
      </c>
      <c r="X62" t="s">
        <v>490</v>
      </c>
      <c r="Y62" t="s">
        <v>489</v>
      </c>
    </row>
    <row r="63" spans="1:25">
      <c r="A63" t="s">
        <v>974</v>
      </c>
      <c r="B63" t="s">
        <v>489</v>
      </c>
      <c r="C63" t="s">
        <v>490</v>
      </c>
      <c r="D63" t="s">
        <v>490</v>
      </c>
      <c r="E63" t="s">
        <v>489</v>
      </c>
      <c r="F63" t="s">
        <v>490</v>
      </c>
      <c r="G63" t="s">
        <v>490</v>
      </c>
      <c r="H63" t="s">
        <v>489</v>
      </c>
      <c r="I63" t="s">
        <v>489</v>
      </c>
      <c r="J63" t="s">
        <v>490</v>
      </c>
      <c r="K63" t="s">
        <v>490</v>
      </c>
      <c r="L63" t="s">
        <v>490</v>
      </c>
      <c r="M63" t="s">
        <v>489</v>
      </c>
      <c r="N63" t="s">
        <v>489</v>
      </c>
      <c r="O63" t="s">
        <v>489</v>
      </c>
      <c r="P63" t="s">
        <v>490</v>
      </c>
      <c r="Q63" t="s">
        <v>489</v>
      </c>
      <c r="R63" t="s">
        <v>489</v>
      </c>
      <c r="S63" t="s">
        <v>490</v>
      </c>
      <c r="T63" t="s">
        <v>489</v>
      </c>
      <c r="U63" t="s">
        <v>489</v>
      </c>
      <c r="V63" t="s">
        <v>490</v>
      </c>
      <c r="W63" t="s">
        <v>490</v>
      </c>
      <c r="X63" t="s">
        <v>490</v>
      </c>
      <c r="Y63" t="s">
        <v>489</v>
      </c>
    </row>
    <row r="64" spans="1:25">
      <c r="A64" t="s">
        <v>954</v>
      </c>
      <c r="B64" t="s">
        <v>490</v>
      </c>
      <c r="C64" t="s">
        <v>490</v>
      </c>
      <c r="D64" t="s">
        <v>489</v>
      </c>
      <c r="E64" t="s">
        <v>490</v>
      </c>
      <c r="F64" t="s">
        <v>490</v>
      </c>
      <c r="G64" t="s">
        <v>489</v>
      </c>
      <c r="H64" t="s">
        <v>490</v>
      </c>
      <c r="I64" t="s">
        <v>490</v>
      </c>
      <c r="J64" t="s">
        <v>489</v>
      </c>
      <c r="K64" t="s">
        <v>489</v>
      </c>
      <c r="L64" t="s">
        <v>490</v>
      </c>
      <c r="M64" t="s">
        <v>490</v>
      </c>
      <c r="N64" t="s">
        <v>489</v>
      </c>
      <c r="O64" t="s">
        <v>489</v>
      </c>
      <c r="P64" t="s">
        <v>490</v>
      </c>
      <c r="Q64" t="s">
        <v>489</v>
      </c>
      <c r="R64" t="s">
        <v>490</v>
      </c>
      <c r="S64" t="s">
        <v>490</v>
      </c>
      <c r="T64" t="s">
        <v>489</v>
      </c>
      <c r="U64" t="s">
        <v>489</v>
      </c>
      <c r="V64" t="s">
        <v>490</v>
      </c>
      <c r="W64" t="s">
        <v>490</v>
      </c>
      <c r="X64" t="s">
        <v>490</v>
      </c>
      <c r="Y64" t="s">
        <v>489</v>
      </c>
    </row>
    <row r="65" spans="1:25">
      <c r="A65" t="s">
        <v>974</v>
      </c>
      <c r="B65" t="s">
        <v>489</v>
      </c>
      <c r="C65" t="s">
        <v>489</v>
      </c>
      <c r="D65" t="s">
        <v>490</v>
      </c>
      <c r="E65" t="s">
        <v>489</v>
      </c>
      <c r="F65" t="s">
        <v>489</v>
      </c>
      <c r="G65" t="s">
        <v>490</v>
      </c>
      <c r="H65" t="s">
        <v>489</v>
      </c>
      <c r="I65" t="s">
        <v>489</v>
      </c>
      <c r="J65" t="s">
        <v>490</v>
      </c>
      <c r="K65" t="s">
        <v>489</v>
      </c>
      <c r="L65" t="s">
        <v>489</v>
      </c>
      <c r="M65" t="s">
        <v>490</v>
      </c>
      <c r="N65" t="s">
        <v>489</v>
      </c>
      <c r="O65" t="s">
        <v>489</v>
      </c>
      <c r="P65" t="s">
        <v>490</v>
      </c>
      <c r="Q65" t="s">
        <v>489</v>
      </c>
      <c r="R65" t="s">
        <v>489</v>
      </c>
      <c r="S65" t="s">
        <v>490</v>
      </c>
      <c r="T65" t="s">
        <v>489</v>
      </c>
      <c r="U65" t="s">
        <v>490</v>
      </c>
      <c r="V65" t="s">
        <v>490</v>
      </c>
      <c r="W65" t="s">
        <v>490</v>
      </c>
      <c r="X65" t="s">
        <v>490</v>
      </c>
      <c r="Y65" t="s">
        <v>489</v>
      </c>
    </row>
    <row r="66" spans="1:25">
      <c r="A66" t="s">
        <v>972</v>
      </c>
      <c r="B66" t="s">
        <v>489</v>
      </c>
      <c r="C66" t="s">
        <v>489</v>
      </c>
      <c r="D66" t="s">
        <v>490</v>
      </c>
      <c r="E66" t="s">
        <v>489</v>
      </c>
      <c r="F66" t="s">
        <v>489</v>
      </c>
      <c r="G66" t="s">
        <v>490</v>
      </c>
      <c r="H66" t="s">
        <v>490</v>
      </c>
      <c r="I66" t="s">
        <v>490</v>
      </c>
      <c r="J66" t="s">
        <v>489</v>
      </c>
      <c r="K66" t="s">
        <v>489</v>
      </c>
      <c r="L66" t="s">
        <v>489</v>
      </c>
      <c r="M66" t="s">
        <v>490</v>
      </c>
      <c r="N66" t="s">
        <v>489</v>
      </c>
      <c r="O66" t="s">
        <v>489</v>
      </c>
      <c r="P66" t="s">
        <v>490</v>
      </c>
      <c r="Q66" t="s">
        <v>489</v>
      </c>
      <c r="R66" t="s">
        <v>489</v>
      </c>
      <c r="S66" t="s">
        <v>490</v>
      </c>
      <c r="T66" t="s">
        <v>489</v>
      </c>
      <c r="U66" t="s">
        <v>490</v>
      </c>
      <c r="V66" t="s">
        <v>490</v>
      </c>
      <c r="W66" t="s">
        <v>490</v>
      </c>
      <c r="X66" t="s">
        <v>490</v>
      </c>
      <c r="Y66" t="s">
        <v>489</v>
      </c>
    </row>
    <row r="67" spans="1:25">
      <c r="A67" t="s">
        <v>974</v>
      </c>
      <c r="B67" t="s">
        <v>489</v>
      </c>
      <c r="C67" t="s">
        <v>489</v>
      </c>
      <c r="D67" t="s">
        <v>490</v>
      </c>
      <c r="E67" t="s">
        <v>489</v>
      </c>
      <c r="F67" t="s">
        <v>489</v>
      </c>
      <c r="G67" t="s">
        <v>490</v>
      </c>
      <c r="H67" t="s">
        <v>489</v>
      </c>
      <c r="I67" t="s">
        <v>489</v>
      </c>
      <c r="J67" t="s">
        <v>490</v>
      </c>
      <c r="K67" t="s">
        <v>490</v>
      </c>
      <c r="L67" t="s">
        <v>490</v>
      </c>
      <c r="M67" t="s">
        <v>489</v>
      </c>
      <c r="N67" t="s">
        <v>489</v>
      </c>
      <c r="O67" t="s">
        <v>489</v>
      </c>
      <c r="P67" t="s">
        <v>490</v>
      </c>
      <c r="Q67" t="s">
        <v>489</v>
      </c>
      <c r="R67" t="s">
        <v>489</v>
      </c>
      <c r="S67" t="s">
        <v>490</v>
      </c>
      <c r="T67" t="s">
        <v>489</v>
      </c>
      <c r="U67" t="s">
        <v>490</v>
      </c>
      <c r="V67" t="s">
        <v>490</v>
      </c>
      <c r="W67" t="s">
        <v>490</v>
      </c>
      <c r="X67" t="s">
        <v>490</v>
      </c>
      <c r="Y67" t="s">
        <v>489</v>
      </c>
    </row>
    <row r="68" spans="1:25">
      <c r="A68" t="s">
        <v>974</v>
      </c>
      <c r="B68" t="s">
        <v>489</v>
      </c>
      <c r="C68" t="s">
        <v>489</v>
      </c>
      <c r="D68" t="s">
        <v>490</v>
      </c>
      <c r="E68" t="s">
        <v>489</v>
      </c>
      <c r="F68" t="s">
        <v>489</v>
      </c>
      <c r="G68" t="s">
        <v>490</v>
      </c>
      <c r="H68" t="s">
        <v>489</v>
      </c>
      <c r="I68" t="s">
        <v>489</v>
      </c>
      <c r="J68" t="s">
        <v>490</v>
      </c>
      <c r="K68" t="s">
        <v>489</v>
      </c>
      <c r="L68" t="s">
        <v>490</v>
      </c>
      <c r="M68" t="s">
        <v>490</v>
      </c>
      <c r="N68" t="s">
        <v>489</v>
      </c>
      <c r="O68" t="s">
        <v>489</v>
      </c>
      <c r="P68" t="s">
        <v>490</v>
      </c>
      <c r="Q68" t="s">
        <v>489</v>
      </c>
      <c r="R68" t="s">
        <v>490</v>
      </c>
      <c r="S68" t="s">
        <v>490</v>
      </c>
      <c r="T68" t="s">
        <v>489</v>
      </c>
      <c r="U68" t="s">
        <v>490</v>
      </c>
      <c r="V68" t="s">
        <v>490</v>
      </c>
      <c r="W68" t="s">
        <v>490</v>
      </c>
      <c r="X68" t="s">
        <v>490</v>
      </c>
      <c r="Y68" t="s">
        <v>489</v>
      </c>
    </row>
    <row r="69" spans="1:25">
      <c r="A69" t="s">
        <v>972</v>
      </c>
      <c r="B69" t="s">
        <v>489</v>
      </c>
      <c r="C69" t="s">
        <v>490</v>
      </c>
      <c r="D69" t="s">
        <v>490</v>
      </c>
      <c r="E69" t="s">
        <v>489</v>
      </c>
      <c r="F69" t="s">
        <v>490</v>
      </c>
      <c r="G69" t="s">
        <v>490</v>
      </c>
      <c r="H69" t="s">
        <v>489</v>
      </c>
      <c r="I69" t="s">
        <v>490</v>
      </c>
      <c r="J69" t="s">
        <v>490</v>
      </c>
      <c r="K69" t="s">
        <v>489</v>
      </c>
      <c r="L69" t="s">
        <v>490</v>
      </c>
      <c r="M69" t="s">
        <v>490</v>
      </c>
      <c r="N69" t="s">
        <v>489</v>
      </c>
      <c r="O69" t="s">
        <v>489</v>
      </c>
      <c r="P69" t="s">
        <v>490</v>
      </c>
      <c r="Q69" t="s">
        <v>489</v>
      </c>
      <c r="R69" t="s">
        <v>490</v>
      </c>
      <c r="S69" t="s">
        <v>490</v>
      </c>
      <c r="T69" t="s">
        <v>489</v>
      </c>
      <c r="U69" t="s">
        <v>490</v>
      </c>
      <c r="V69" t="s">
        <v>490</v>
      </c>
      <c r="W69" t="s">
        <v>490</v>
      </c>
      <c r="X69" t="s">
        <v>490</v>
      </c>
      <c r="Y69" t="s">
        <v>489</v>
      </c>
    </row>
    <row r="70" spans="1:25">
      <c r="A70" t="s">
        <v>972</v>
      </c>
      <c r="B70" t="s">
        <v>489</v>
      </c>
      <c r="C70" t="s">
        <v>490</v>
      </c>
      <c r="D70" t="s">
        <v>490</v>
      </c>
      <c r="E70" t="s">
        <v>489</v>
      </c>
      <c r="F70" t="s">
        <v>490</v>
      </c>
      <c r="G70" t="s">
        <v>490</v>
      </c>
      <c r="H70" t="s">
        <v>489</v>
      </c>
      <c r="I70" t="s">
        <v>490</v>
      </c>
      <c r="J70" t="s">
        <v>490</v>
      </c>
      <c r="K70" t="s">
        <v>489</v>
      </c>
      <c r="L70" t="s">
        <v>490</v>
      </c>
      <c r="M70" t="s">
        <v>490</v>
      </c>
      <c r="N70" t="s">
        <v>489</v>
      </c>
      <c r="O70" t="s">
        <v>490</v>
      </c>
      <c r="P70" t="s">
        <v>490</v>
      </c>
      <c r="Q70" t="s">
        <v>489</v>
      </c>
      <c r="R70" t="s">
        <v>490</v>
      </c>
      <c r="S70" t="s">
        <v>490</v>
      </c>
      <c r="T70" t="s">
        <v>489</v>
      </c>
      <c r="U70" t="s">
        <v>490</v>
      </c>
      <c r="V70" t="s">
        <v>490</v>
      </c>
      <c r="W70" t="s">
        <v>490</v>
      </c>
      <c r="X70" t="s">
        <v>490</v>
      </c>
      <c r="Y70" t="s">
        <v>489</v>
      </c>
    </row>
    <row r="71" spans="1:25">
      <c r="A71" t="s">
        <v>974</v>
      </c>
      <c r="B71" t="s">
        <v>489</v>
      </c>
      <c r="C71" t="s">
        <v>489</v>
      </c>
      <c r="D71" t="s">
        <v>490</v>
      </c>
      <c r="E71" t="s">
        <v>489</v>
      </c>
      <c r="F71" t="s">
        <v>489</v>
      </c>
      <c r="G71" t="s">
        <v>490</v>
      </c>
      <c r="H71" t="s">
        <v>489</v>
      </c>
      <c r="I71" t="s">
        <v>489</v>
      </c>
      <c r="J71" t="s">
        <v>490</v>
      </c>
      <c r="K71" t="s">
        <v>489</v>
      </c>
      <c r="L71" t="s">
        <v>489</v>
      </c>
      <c r="M71" t="s">
        <v>490</v>
      </c>
      <c r="N71" t="s">
        <v>489</v>
      </c>
      <c r="O71" t="s">
        <v>489</v>
      </c>
      <c r="P71" t="s">
        <v>490</v>
      </c>
      <c r="Q71" t="s">
        <v>490</v>
      </c>
      <c r="R71" t="s">
        <v>490</v>
      </c>
      <c r="S71" t="s">
        <v>489</v>
      </c>
      <c r="T71" t="s">
        <v>489</v>
      </c>
      <c r="U71" t="s">
        <v>490</v>
      </c>
      <c r="V71" t="s">
        <v>490</v>
      </c>
      <c r="W71" t="s">
        <v>490</v>
      </c>
      <c r="X71" t="s">
        <v>490</v>
      </c>
      <c r="Y71" t="s">
        <v>489</v>
      </c>
    </row>
    <row r="72" spans="1:25">
      <c r="A72" t="s">
        <v>972</v>
      </c>
      <c r="B72" t="s">
        <v>489</v>
      </c>
      <c r="C72" t="s">
        <v>490</v>
      </c>
      <c r="D72" t="s">
        <v>490</v>
      </c>
      <c r="E72" t="s">
        <v>489</v>
      </c>
      <c r="F72" t="s">
        <v>490</v>
      </c>
      <c r="G72" t="s">
        <v>490</v>
      </c>
      <c r="H72" t="s">
        <v>489</v>
      </c>
      <c r="I72" t="s">
        <v>490</v>
      </c>
      <c r="J72" t="s">
        <v>490</v>
      </c>
      <c r="K72" t="s">
        <v>489</v>
      </c>
      <c r="L72" t="s">
        <v>490</v>
      </c>
      <c r="M72" t="s">
        <v>490</v>
      </c>
      <c r="N72" t="s">
        <v>489</v>
      </c>
      <c r="O72" t="s">
        <v>489</v>
      </c>
      <c r="P72" t="s">
        <v>490</v>
      </c>
      <c r="Q72" t="s">
        <v>490</v>
      </c>
      <c r="R72" t="s">
        <v>490</v>
      </c>
      <c r="S72" t="s">
        <v>489</v>
      </c>
      <c r="T72" t="s">
        <v>489</v>
      </c>
      <c r="U72" t="s">
        <v>490</v>
      </c>
      <c r="V72" t="s">
        <v>490</v>
      </c>
      <c r="W72" t="s">
        <v>490</v>
      </c>
      <c r="X72" t="s">
        <v>490</v>
      </c>
      <c r="Y72" t="s">
        <v>489</v>
      </c>
    </row>
    <row r="73" spans="1:25">
      <c r="A73" t="s">
        <v>972</v>
      </c>
      <c r="B73" t="s">
        <v>489</v>
      </c>
      <c r="C73" t="s">
        <v>489</v>
      </c>
      <c r="D73" t="s">
        <v>490</v>
      </c>
      <c r="E73" t="s">
        <v>489</v>
      </c>
      <c r="F73" t="s">
        <v>489</v>
      </c>
      <c r="G73" t="s">
        <v>490</v>
      </c>
      <c r="H73" t="s">
        <v>489</v>
      </c>
      <c r="I73" t="s">
        <v>489</v>
      </c>
      <c r="J73" t="s">
        <v>490</v>
      </c>
      <c r="K73" t="s">
        <v>490</v>
      </c>
      <c r="L73" t="s">
        <v>490</v>
      </c>
      <c r="M73" t="s">
        <v>489</v>
      </c>
      <c r="N73" t="s">
        <v>489</v>
      </c>
      <c r="O73" t="s">
        <v>489</v>
      </c>
      <c r="P73" t="s">
        <v>490</v>
      </c>
      <c r="Q73" t="s">
        <v>490</v>
      </c>
      <c r="R73" t="s">
        <v>490</v>
      </c>
      <c r="S73" t="s">
        <v>489</v>
      </c>
      <c r="T73" t="s">
        <v>489</v>
      </c>
      <c r="U73" t="s">
        <v>490</v>
      </c>
      <c r="V73" t="s">
        <v>490</v>
      </c>
      <c r="W73" t="s">
        <v>490</v>
      </c>
      <c r="X73" t="s">
        <v>490</v>
      </c>
      <c r="Y73" t="s">
        <v>489</v>
      </c>
    </row>
    <row r="74" spans="1:25">
      <c r="A74" t="s">
        <v>973</v>
      </c>
      <c r="B74" t="s">
        <v>489</v>
      </c>
      <c r="C74" t="s">
        <v>489</v>
      </c>
      <c r="D74" t="s">
        <v>490</v>
      </c>
      <c r="E74" t="s">
        <v>489</v>
      </c>
      <c r="F74" t="s">
        <v>489</v>
      </c>
      <c r="G74" t="s">
        <v>490</v>
      </c>
      <c r="H74" t="s">
        <v>490</v>
      </c>
      <c r="I74" t="s">
        <v>490</v>
      </c>
      <c r="J74" t="s">
        <v>489</v>
      </c>
      <c r="K74" t="s">
        <v>490</v>
      </c>
      <c r="L74" t="s">
        <v>490</v>
      </c>
      <c r="M74" t="s">
        <v>489</v>
      </c>
      <c r="N74" t="s">
        <v>490</v>
      </c>
      <c r="O74" t="s">
        <v>490</v>
      </c>
      <c r="P74" t="s">
        <v>489</v>
      </c>
      <c r="Q74" t="s">
        <v>490</v>
      </c>
      <c r="R74" t="s">
        <v>490</v>
      </c>
      <c r="S74" t="s">
        <v>489</v>
      </c>
      <c r="T74" t="s">
        <v>489</v>
      </c>
      <c r="U74" t="s">
        <v>490</v>
      </c>
      <c r="V74" t="s">
        <v>490</v>
      </c>
      <c r="W74" t="s">
        <v>490</v>
      </c>
      <c r="X74" t="s">
        <v>490</v>
      </c>
      <c r="Y74" t="s">
        <v>489</v>
      </c>
    </row>
    <row r="75" spans="1:25">
      <c r="A75" t="s">
        <v>972</v>
      </c>
      <c r="B75" t="s">
        <v>489</v>
      </c>
      <c r="C75" t="s">
        <v>489</v>
      </c>
      <c r="D75" t="s">
        <v>490</v>
      </c>
      <c r="E75" t="s">
        <v>489</v>
      </c>
      <c r="F75" t="s">
        <v>489</v>
      </c>
      <c r="G75" t="s">
        <v>490</v>
      </c>
      <c r="H75" t="s">
        <v>489</v>
      </c>
      <c r="I75" t="s">
        <v>489</v>
      </c>
      <c r="J75" t="s">
        <v>490</v>
      </c>
      <c r="K75" t="s">
        <v>489</v>
      </c>
      <c r="L75" t="s">
        <v>489</v>
      </c>
      <c r="M75" t="s">
        <v>490</v>
      </c>
      <c r="N75" t="s">
        <v>489</v>
      </c>
      <c r="O75" t="s">
        <v>489</v>
      </c>
      <c r="P75" t="s">
        <v>490</v>
      </c>
      <c r="Q75" t="s">
        <v>489</v>
      </c>
      <c r="R75" t="s">
        <v>489</v>
      </c>
      <c r="S75" t="s">
        <v>490</v>
      </c>
      <c r="T75" t="s">
        <v>490</v>
      </c>
      <c r="U75" t="s">
        <v>490</v>
      </c>
      <c r="V75" t="s">
        <v>489</v>
      </c>
      <c r="W75" t="s">
        <v>490</v>
      </c>
      <c r="X75" t="s">
        <v>490</v>
      </c>
      <c r="Y75" t="s">
        <v>489</v>
      </c>
    </row>
    <row r="76" spans="1:25">
      <c r="A76" t="s">
        <v>972</v>
      </c>
      <c r="B76" t="s">
        <v>489</v>
      </c>
      <c r="C76" t="s">
        <v>489</v>
      </c>
      <c r="D76" t="s">
        <v>490</v>
      </c>
      <c r="E76" t="s">
        <v>489</v>
      </c>
      <c r="F76" t="s">
        <v>489</v>
      </c>
      <c r="G76" t="s">
        <v>490</v>
      </c>
      <c r="H76" t="s">
        <v>489</v>
      </c>
      <c r="I76" t="s">
        <v>489</v>
      </c>
      <c r="J76" t="s">
        <v>490</v>
      </c>
      <c r="K76" t="s">
        <v>489</v>
      </c>
      <c r="L76" t="s">
        <v>489</v>
      </c>
      <c r="M76" t="s">
        <v>490</v>
      </c>
      <c r="N76" t="s">
        <v>489</v>
      </c>
      <c r="O76" t="s">
        <v>489</v>
      </c>
      <c r="P76" t="s">
        <v>490</v>
      </c>
      <c r="Q76" t="s">
        <v>489</v>
      </c>
      <c r="R76" t="s">
        <v>489</v>
      </c>
      <c r="S76" t="s">
        <v>490</v>
      </c>
      <c r="T76" t="s">
        <v>490</v>
      </c>
      <c r="U76" t="s">
        <v>490</v>
      </c>
      <c r="V76" t="s">
        <v>489</v>
      </c>
      <c r="W76" t="s">
        <v>490</v>
      </c>
      <c r="X76" t="s">
        <v>490</v>
      </c>
      <c r="Y76" t="s">
        <v>489</v>
      </c>
    </row>
    <row r="77" spans="1:25">
      <c r="A77" t="s">
        <v>972</v>
      </c>
      <c r="B77" t="s">
        <v>489</v>
      </c>
      <c r="C77" t="s">
        <v>489</v>
      </c>
      <c r="D77" t="s">
        <v>490</v>
      </c>
      <c r="E77" t="s">
        <v>489</v>
      </c>
      <c r="F77" t="s">
        <v>489</v>
      </c>
      <c r="G77" t="s">
        <v>490</v>
      </c>
      <c r="H77" t="s">
        <v>490</v>
      </c>
      <c r="I77" t="s">
        <v>490</v>
      </c>
      <c r="J77" t="s">
        <v>489</v>
      </c>
      <c r="K77" t="s">
        <v>489</v>
      </c>
      <c r="L77" t="s">
        <v>489</v>
      </c>
      <c r="M77" t="s">
        <v>490</v>
      </c>
      <c r="N77" t="s">
        <v>489</v>
      </c>
      <c r="O77" t="s">
        <v>489</v>
      </c>
      <c r="P77" t="s">
        <v>490</v>
      </c>
      <c r="Q77" t="s">
        <v>489</v>
      </c>
      <c r="R77" t="s">
        <v>489</v>
      </c>
      <c r="S77" t="s">
        <v>490</v>
      </c>
      <c r="T77" t="s">
        <v>490</v>
      </c>
      <c r="U77" t="s">
        <v>490</v>
      </c>
      <c r="V77" t="s">
        <v>489</v>
      </c>
      <c r="W77" t="s">
        <v>490</v>
      </c>
      <c r="X77" t="s">
        <v>490</v>
      </c>
      <c r="Y77" t="s">
        <v>489</v>
      </c>
    </row>
    <row r="78" spans="1:25">
      <c r="A78" t="s">
        <v>972</v>
      </c>
      <c r="B78" t="s">
        <v>489</v>
      </c>
      <c r="C78" t="s">
        <v>489</v>
      </c>
      <c r="D78" t="s">
        <v>490</v>
      </c>
      <c r="E78" t="s">
        <v>489</v>
      </c>
      <c r="F78" t="s">
        <v>489</v>
      </c>
      <c r="G78" t="s">
        <v>490</v>
      </c>
      <c r="H78" t="s">
        <v>490</v>
      </c>
      <c r="I78" t="s">
        <v>490</v>
      </c>
      <c r="J78" t="s">
        <v>489</v>
      </c>
      <c r="K78" t="s">
        <v>489</v>
      </c>
      <c r="L78" t="s">
        <v>489</v>
      </c>
      <c r="M78" t="s">
        <v>490</v>
      </c>
      <c r="N78" t="s">
        <v>489</v>
      </c>
      <c r="O78" t="s">
        <v>489</v>
      </c>
      <c r="P78" t="s">
        <v>490</v>
      </c>
      <c r="Q78" t="s">
        <v>489</v>
      </c>
      <c r="R78" t="s">
        <v>489</v>
      </c>
      <c r="S78" t="s">
        <v>490</v>
      </c>
      <c r="T78" t="s">
        <v>490</v>
      </c>
      <c r="U78" t="s">
        <v>490</v>
      </c>
      <c r="V78" t="s">
        <v>489</v>
      </c>
      <c r="W78" t="s">
        <v>490</v>
      </c>
      <c r="X78" t="s">
        <v>490</v>
      </c>
      <c r="Y78" t="s">
        <v>489</v>
      </c>
    </row>
    <row r="79" spans="1:25">
      <c r="A79" t="s">
        <v>972</v>
      </c>
      <c r="B79" t="s">
        <v>489</v>
      </c>
      <c r="C79" t="s">
        <v>489</v>
      </c>
      <c r="D79" t="s">
        <v>490</v>
      </c>
      <c r="E79" t="s">
        <v>489</v>
      </c>
      <c r="F79" t="s">
        <v>489</v>
      </c>
      <c r="G79" t="s">
        <v>490</v>
      </c>
      <c r="H79" t="s">
        <v>490</v>
      </c>
      <c r="I79" t="s">
        <v>490</v>
      </c>
      <c r="J79" t="s">
        <v>489</v>
      </c>
      <c r="K79" t="s">
        <v>489</v>
      </c>
      <c r="L79" t="s">
        <v>489</v>
      </c>
      <c r="M79" t="s">
        <v>490</v>
      </c>
      <c r="N79" t="s">
        <v>489</v>
      </c>
      <c r="O79" t="s">
        <v>489</v>
      </c>
      <c r="P79" t="s">
        <v>490</v>
      </c>
      <c r="Q79" t="s">
        <v>489</v>
      </c>
      <c r="R79" t="s">
        <v>489</v>
      </c>
      <c r="S79" t="s">
        <v>490</v>
      </c>
      <c r="T79" t="s">
        <v>490</v>
      </c>
      <c r="U79" t="s">
        <v>490</v>
      </c>
      <c r="V79" t="s">
        <v>489</v>
      </c>
      <c r="W79" t="s">
        <v>490</v>
      </c>
      <c r="X79" t="s">
        <v>490</v>
      </c>
      <c r="Y79" t="s">
        <v>489</v>
      </c>
    </row>
    <row r="80" spans="1:25">
      <c r="A80" t="s">
        <v>972</v>
      </c>
      <c r="B80" t="s">
        <v>489</v>
      </c>
      <c r="C80" t="s">
        <v>489</v>
      </c>
      <c r="D80" t="s">
        <v>490</v>
      </c>
      <c r="E80" t="s">
        <v>489</v>
      </c>
      <c r="F80" t="s">
        <v>489</v>
      </c>
      <c r="G80" t="s">
        <v>490</v>
      </c>
      <c r="H80" t="s">
        <v>490</v>
      </c>
      <c r="I80" t="s">
        <v>490</v>
      </c>
      <c r="J80" t="s">
        <v>489</v>
      </c>
      <c r="K80" t="s">
        <v>489</v>
      </c>
      <c r="L80" t="s">
        <v>489</v>
      </c>
      <c r="M80" t="s">
        <v>490</v>
      </c>
      <c r="N80" t="s">
        <v>489</v>
      </c>
      <c r="O80" t="s">
        <v>489</v>
      </c>
      <c r="P80" t="s">
        <v>490</v>
      </c>
      <c r="Q80" t="s">
        <v>489</v>
      </c>
      <c r="R80" t="s">
        <v>489</v>
      </c>
      <c r="S80" t="s">
        <v>490</v>
      </c>
      <c r="T80" t="s">
        <v>490</v>
      </c>
      <c r="U80" t="s">
        <v>490</v>
      </c>
      <c r="V80" t="s">
        <v>489</v>
      </c>
      <c r="W80" t="s">
        <v>490</v>
      </c>
      <c r="X80" t="s">
        <v>490</v>
      </c>
      <c r="Y80" t="s">
        <v>489</v>
      </c>
    </row>
    <row r="81" spans="1:25">
      <c r="A81" t="s">
        <v>973</v>
      </c>
      <c r="B81" t="s">
        <v>489</v>
      </c>
      <c r="C81" t="s">
        <v>489</v>
      </c>
      <c r="D81" t="s">
        <v>490</v>
      </c>
      <c r="E81" t="s">
        <v>489</v>
      </c>
      <c r="F81" t="s">
        <v>489</v>
      </c>
      <c r="G81" t="s">
        <v>490</v>
      </c>
      <c r="H81" t="s">
        <v>489</v>
      </c>
      <c r="I81" t="s">
        <v>489</v>
      </c>
      <c r="J81" t="s">
        <v>490</v>
      </c>
      <c r="K81" t="s">
        <v>489</v>
      </c>
      <c r="L81" t="s">
        <v>490</v>
      </c>
      <c r="M81" t="s">
        <v>490</v>
      </c>
      <c r="N81" t="s">
        <v>489</v>
      </c>
      <c r="O81" t="s">
        <v>489</v>
      </c>
      <c r="P81" t="s">
        <v>490</v>
      </c>
      <c r="Q81" t="s">
        <v>489</v>
      </c>
      <c r="R81" t="s">
        <v>489</v>
      </c>
      <c r="S81" t="s">
        <v>490</v>
      </c>
      <c r="T81" t="s">
        <v>490</v>
      </c>
      <c r="U81" t="s">
        <v>490</v>
      </c>
      <c r="V81" t="s">
        <v>489</v>
      </c>
      <c r="W81" t="s">
        <v>490</v>
      </c>
      <c r="X81" t="s">
        <v>490</v>
      </c>
      <c r="Y81" t="s">
        <v>489</v>
      </c>
    </row>
    <row r="82" spans="1:25">
      <c r="A82" t="s">
        <v>974</v>
      </c>
      <c r="B82" t="s">
        <v>489</v>
      </c>
      <c r="C82" t="s">
        <v>489</v>
      </c>
      <c r="D82" t="s">
        <v>490</v>
      </c>
      <c r="E82" t="s">
        <v>489</v>
      </c>
      <c r="F82" t="s">
        <v>489</v>
      </c>
      <c r="G82" t="s">
        <v>490</v>
      </c>
      <c r="H82" t="s">
        <v>489</v>
      </c>
      <c r="I82" t="s">
        <v>489</v>
      </c>
      <c r="J82" t="s">
        <v>490</v>
      </c>
      <c r="K82" t="s">
        <v>490</v>
      </c>
      <c r="L82" t="s">
        <v>490</v>
      </c>
      <c r="M82" t="s">
        <v>489</v>
      </c>
      <c r="N82" t="s">
        <v>489</v>
      </c>
      <c r="O82" t="s">
        <v>489</v>
      </c>
      <c r="P82" t="s">
        <v>490</v>
      </c>
      <c r="Q82" t="s">
        <v>489</v>
      </c>
      <c r="R82" t="s">
        <v>489</v>
      </c>
      <c r="S82" t="s">
        <v>490</v>
      </c>
      <c r="T82" t="s">
        <v>490</v>
      </c>
      <c r="U82" t="s">
        <v>490</v>
      </c>
      <c r="V82" t="s">
        <v>489</v>
      </c>
      <c r="W82" t="s">
        <v>490</v>
      </c>
      <c r="X82" t="s">
        <v>490</v>
      </c>
      <c r="Y82" t="s">
        <v>489</v>
      </c>
    </row>
    <row r="83" spans="1:25">
      <c r="A83" t="s">
        <v>974</v>
      </c>
      <c r="B83" t="s">
        <v>490</v>
      </c>
      <c r="C83" t="s">
        <v>490</v>
      </c>
      <c r="D83" t="s">
        <v>489</v>
      </c>
      <c r="E83" t="s">
        <v>490</v>
      </c>
      <c r="F83" t="s">
        <v>490</v>
      </c>
      <c r="G83" t="s">
        <v>489</v>
      </c>
      <c r="H83" t="s">
        <v>490</v>
      </c>
      <c r="I83" t="s">
        <v>490</v>
      </c>
      <c r="J83" t="s">
        <v>489</v>
      </c>
      <c r="K83" t="s">
        <v>490</v>
      </c>
      <c r="L83" t="s">
        <v>490</v>
      </c>
      <c r="M83" t="s">
        <v>489</v>
      </c>
      <c r="N83" t="s">
        <v>489</v>
      </c>
      <c r="O83" t="s">
        <v>489</v>
      </c>
      <c r="P83" t="s">
        <v>490</v>
      </c>
      <c r="Q83" t="s">
        <v>489</v>
      </c>
      <c r="R83" t="s">
        <v>489</v>
      </c>
      <c r="S83" t="s">
        <v>490</v>
      </c>
      <c r="T83" t="s">
        <v>490</v>
      </c>
      <c r="U83" t="s">
        <v>490</v>
      </c>
      <c r="V83" t="s">
        <v>489</v>
      </c>
      <c r="W83" t="s">
        <v>490</v>
      </c>
      <c r="X83" t="s">
        <v>490</v>
      </c>
      <c r="Y83" t="s">
        <v>489</v>
      </c>
    </row>
    <row r="84" spans="1:25">
      <c r="A84" t="s">
        <v>974</v>
      </c>
      <c r="B84" t="s">
        <v>489</v>
      </c>
      <c r="C84" t="s">
        <v>490</v>
      </c>
      <c r="D84" t="s">
        <v>490</v>
      </c>
      <c r="E84" t="s">
        <v>489</v>
      </c>
      <c r="F84" t="s">
        <v>490</v>
      </c>
      <c r="G84" t="s">
        <v>490</v>
      </c>
      <c r="H84" t="s">
        <v>489</v>
      </c>
      <c r="I84" t="s">
        <v>489</v>
      </c>
      <c r="J84" t="s">
        <v>490</v>
      </c>
      <c r="K84" t="s">
        <v>489</v>
      </c>
      <c r="L84" t="s">
        <v>490</v>
      </c>
      <c r="M84" t="s">
        <v>490</v>
      </c>
      <c r="N84" t="s">
        <v>489</v>
      </c>
      <c r="O84" t="s">
        <v>490</v>
      </c>
      <c r="P84" t="s">
        <v>490</v>
      </c>
      <c r="Q84" t="s">
        <v>489</v>
      </c>
      <c r="R84" t="s">
        <v>489</v>
      </c>
      <c r="S84" t="s">
        <v>490</v>
      </c>
      <c r="T84" t="s">
        <v>490</v>
      </c>
      <c r="U84" t="s">
        <v>490</v>
      </c>
      <c r="V84" t="s">
        <v>489</v>
      </c>
      <c r="W84" t="s">
        <v>490</v>
      </c>
      <c r="X84" t="s">
        <v>490</v>
      </c>
      <c r="Y84" t="s">
        <v>489</v>
      </c>
    </row>
    <row r="85" spans="1:25">
      <c r="A85" t="s">
        <v>972</v>
      </c>
      <c r="B85" t="s">
        <v>490</v>
      </c>
      <c r="C85" t="s">
        <v>489</v>
      </c>
      <c r="D85" t="s">
        <v>490</v>
      </c>
      <c r="E85" t="s">
        <v>490</v>
      </c>
      <c r="F85" t="s">
        <v>489</v>
      </c>
      <c r="G85" t="s">
        <v>490</v>
      </c>
      <c r="H85" t="s">
        <v>490</v>
      </c>
      <c r="I85" t="s">
        <v>489</v>
      </c>
      <c r="J85" t="s">
        <v>490</v>
      </c>
      <c r="K85" t="s">
        <v>490</v>
      </c>
      <c r="L85" t="s">
        <v>489</v>
      </c>
      <c r="M85" t="s">
        <v>490</v>
      </c>
      <c r="N85" t="s">
        <v>490</v>
      </c>
      <c r="O85" t="s">
        <v>489</v>
      </c>
      <c r="P85" t="s">
        <v>490</v>
      </c>
      <c r="Q85" t="s">
        <v>490</v>
      </c>
      <c r="R85" t="s">
        <v>489</v>
      </c>
      <c r="S85" t="s">
        <v>490</v>
      </c>
      <c r="T85" t="s">
        <v>490</v>
      </c>
      <c r="U85" t="s">
        <v>490</v>
      </c>
      <c r="V85" t="s">
        <v>489</v>
      </c>
      <c r="W85" t="s">
        <v>490</v>
      </c>
      <c r="X85" t="s">
        <v>490</v>
      </c>
      <c r="Y85" t="s">
        <v>489</v>
      </c>
    </row>
    <row r="86" spans="1:25">
      <c r="A86" t="s">
        <v>973</v>
      </c>
      <c r="B86" t="s">
        <v>489</v>
      </c>
      <c r="C86" t="s">
        <v>489</v>
      </c>
      <c r="D86" t="s">
        <v>490</v>
      </c>
      <c r="E86" t="s">
        <v>489</v>
      </c>
      <c r="F86" t="s">
        <v>489</v>
      </c>
      <c r="G86" t="s">
        <v>490</v>
      </c>
      <c r="H86" t="s">
        <v>489</v>
      </c>
      <c r="I86" t="s">
        <v>489</v>
      </c>
      <c r="J86" t="s">
        <v>490</v>
      </c>
      <c r="K86" t="s">
        <v>489</v>
      </c>
      <c r="L86" t="s">
        <v>489</v>
      </c>
      <c r="M86" t="s">
        <v>490</v>
      </c>
      <c r="N86" t="s">
        <v>489</v>
      </c>
      <c r="O86" t="s">
        <v>489</v>
      </c>
      <c r="P86" t="s">
        <v>490</v>
      </c>
      <c r="Q86" t="s">
        <v>489</v>
      </c>
      <c r="R86" t="s">
        <v>490</v>
      </c>
      <c r="S86" t="s">
        <v>490</v>
      </c>
      <c r="T86" t="s">
        <v>490</v>
      </c>
      <c r="U86" t="s">
        <v>490</v>
      </c>
      <c r="V86" t="s">
        <v>489</v>
      </c>
      <c r="W86" t="s">
        <v>490</v>
      </c>
      <c r="X86" t="s">
        <v>490</v>
      </c>
      <c r="Y86" t="s">
        <v>489</v>
      </c>
    </row>
    <row r="87" spans="1:25">
      <c r="A87" t="s">
        <v>972</v>
      </c>
      <c r="B87" t="s">
        <v>489</v>
      </c>
      <c r="C87" t="s">
        <v>489</v>
      </c>
      <c r="D87" t="s">
        <v>490</v>
      </c>
      <c r="E87" t="s">
        <v>489</v>
      </c>
      <c r="F87" t="s">
        <v>489</v>
      </c>
      <c r="G87" t="s">
        <v>490</v>
      </c>
      <c r="H87" t="s">
        <v>489</v>
      </c>
      <c r="I87" t="s">
        <v>489</v>
      </c>
      <c r="J87" t="s">
        <v>490</v>
      </c>
      <c r="K87" t="s">
        <v>489</v>
      </c>
      <c r="L87" t="s">
        <v>489</v>
      </c>
      <c r="M87" t="s">
        <v>490</v>
      </c>
      <c r="N87" t="s">
        <v>489</v>
      </c>
      <c r="O87" t="s">
        <v>489</v>
      </c>
      <c r="P87" t="s">
        <v>490</v>
      </c>
      <c r="Q87" t="s">
        <v>489</v>
      </c>
      <c r="R87" t="s">
        <v>490</v>
      </c>
      <c r="S87" t="s">
        <v>490</v>
      </c>
      <c r="T87" t="s">
        <v>490</v>
      </c>
      <c r="U87" t="s">
        <v>490</v>
      </c>
      <c r="V87" t="s">
        <v>489</v>
      </c>
      <c r="W87" t="s">
        <v>490</v>
      </c>
      <c r="X87" t="s">
        <v>490</v>
      </c>
      <c r="Y87" t="s">
        <v>489</v>
      </c>
    </row>
    <row r="88" spans="1:25">
      <c r="A88" t="s">
        <v>974</v>
      </c>
      <c r="B88" t="s">
        <v>489</v>
      </c>
      <c r="C88" t="s">
        <v>490</v>
      </c>
      <c r="D88" t="s">
        <v>490</v>
      </c>
      <c r="E88" t="s">
        <v>489</v>
      </c>
      <c r="F88" t="s">
        <v>490</v>
      </c>
      <c r="G88" t="s">
        <v>490</v>
      </c>
      <c r="H88" t="s">
        <v>489</v>
      </c>
      <c r="I88" t="s">
        <v>489</v>
      </c>
      <c r="J88" t="s">
        <v>490</v>
      </c>
      <c r="K88" t="s">
        <v>489</v>
      </c>
      <c r="L88" t="s">
        <v>490</v>
      </c>
      <c r="M88" t="s">
        <v>490</v>
      </c>
      <c r="N88" t="s">
        <v>489</v>
      </c>
      <c r="O88" t="s">
        <v>489</v>
      </c>
      <c r="P88" t="s">
        <v>490</v>
      </c>
      <c r="Q88" t="s">
        <v>489</v>
      </c>
      <c r="R88" t="s">
        <v>490</v>
      </c>
      <c r="S88" t="s">
        <v>490</v>
      </c>
      <c r="T88" t="s">
        <v>490</v>
      </c>
      <c r="U88" t="s">
        <v>490</v>
      </c>
      <c r="V88" t="s">
        <v>489</v>
      </c>
      <c r="W88" t="s">
        <v>490</v>
      </c>
      <c r="X88" t="s">
        <v>490</v>
      </c>
      <c r="Y88" t="s">
        <v>489</v>
      </c>
    </row>
    <row r="89" spans="1:25">
      <c r="A89" t="s">
        <v>972</v>
      </c>
      <c r="B89" t="s">
        <v>489</v>
      </c>
      <c r="C89" t="s">
        <v>490</v>
      </c>
      <c r="D89" t="s">
        <v>490</v>
      </c>
      <c r="E89" t="s">
        <v>489</v>
      </c>
      <c r="F89" t="s">
        <v>490</v>
      </c>
      <c r="G89" t="s">
        <v>490</v>
      </c>
      <c r="H89" t="s">
        <v>489</v>
      </c>
      <c r="I89" t="s">
        <v>490</v>
      </c>
      <c r="J89" t="s">
        <v>490</v>
      </c>
      <c r="K89" t="s">
        <v>489</v>
      </c>
      <c r="L89" t="s">
        <v>490</v>
      </c>
      <c r="M89" t="s">
        <v>490</v>
      </c>
      <c r="N89" t="s">
        <v>489</v>
      </c>
      <c r="O89" t="s">
        <v>489</v>
      </c>
      <c r="P89" t="s">
        <v>490</v>
      </c>
      <c r="Q89" t="s">
        <v>489</v>
      </c>
      <c r="R89" t="s">
        <v>490</v>
      </c>
      <c r="S89" t="s">
        <v>490</v>
      </c>
      <c r="T89" t="s">
        <v>490</v>
      </c>
      <c r="U89" t="s">
        <v>490</v>
      </c>
      <c r="V89" t="s">
        <v>489</v>
      </c>
      <c r="W89" t="s">
        <v>490</v>
      </c>
      <c r="X89" t="s">
        <v>490</v>
      </c>
      <c r="Y89" t="s">
        <v>489</v>
      </c>
    </row>
    <row r="90" spans="1:25">
      <c r="A90" t="s">
        <v>972</v>
      </c>
      <c r="B90" t="s">
        <v>489</v>
      </c>
      <c r="C90" t="s">
        <v>490</v>
      </c>
      <c r="D90" t="s">
        <v>490</v>
      </c>
      <c r="E90" t="s">
        <v>490</v>
      </c>
      <c r="F90" t="s">
        <v>490</v>
      </c>
      <c r="G90" t="s">
        <v>489</v>
      </c>
      <c r="H90" t="s">
        <v>490</v>
      </c>
      <c r="I90" t="s">
        <v>490</v>
      </c>
      <c r="J90" t="s">
        <v>489</v>
      </c>
      <c r="K90" t="s">
        <v>489</v>
      </c>
      <c r="L90" t="s">
        <v>490</v>
      </c>
      <c r="M90" t="s">
        <v>490</v>
      </c>
      <c r="N90" t="s">
        <v>489</v>
      </c>
      <c r="O90" t="s">
        <v>489</v>
      </c>
      <c r="P90" t="s">
        <v>490</v>
      </c>
      <c r="Q90" t="s">
        <v>489</v>
      </c>
      <c r="R90" t="s">
        <v>490</v>
      </c>
      <c r="S90" t="s">
        <v>490</v>
      </c>
      <c r="T90" t="s">
        <v>490</v>
      </c>
      <c r="U90" t="s">
        <v>490</v>
      </c>
      <c r="V90" t="s">
        <v>489</v>
      </c>
      <c r="W90" t="s">
        <v>490</v>
      </c>
      <c r="X90" t="s">
        <v>490</v>
      </c>
      <c r="Y90" t="s">
        <v>489</v>
      </c>
    </row>
    <row r="91" spans="1:25">
      <c r="A91" t="s">
        <v>974</v>
      </c>
      <c r="B91" t="s">
        <v>489</v>
      </c>
      <c r="C91" t="s">
        <v>489</v>
      </c>
      <c r="D91" t="s">
        <v>490</v>
      </c>
      <c r="E91" t="s">
        <v>489</v>
      </c>
      <c r="F91" t="s">
        <v>490</v>
      </c>
      <c r="G91" t="s">
        <v>490</v>
      </c>
      <c r="H91" t="s">
        <v>489</v>
      </c>
      <c r="I91" t="s">
        <v>489</v>
      </c>
      <c r="J91" t="s">
        <v>490</v>
      </c>
      <c r="K91" t="s">
        <v>490</v>
      </c>
      <c r="L91" t="s">
        <v>490</v>
      </c>
      <c r="M91" t="s">
        <v>489</v>
      </c>
      <c r="N91" t="s">
        <v>489</v>
      </c>
      <c r="O91" t="s">
        <v>489</v>
      </c>
      <c r="P91" t="s">
        <v>490</v>
      </c>
      <c r="Q91" t="s">
        <v>489</v>
      </c>
      <c r="R91" t="s">
        <v>490</v>
      </c>
      <c r="S91" t="s">
        <v>490</v>
      </c>
      <c r="T91" t="s">
        <v>490</v>
      </c>
      <c r="U91" t="s">
        <v>490</v>
      </c>
      <c r="V91" t="s">
        <v>489</v>
      </c>
      <c r="W91" t="s">
        <v>490</v>
      </c>
      <c r="X91" t="s">
        <v>490</v>
      </c>
      <c r="Y91" t="s">
        <v>489</v>
      </c>
    </row>
    <row r="92" spans="1:25">
      <c r="A92" t="s">
        <v>974</v>
      </c>
      <c r="B92" t="s">
        <v>489</v>
      </c>
      <c r="C92" t="s">
        <v>490</v>
      </c>
      <c r="D92" t="s">
        <v>490</v>
      </c>
      <c r="E92" t="s">
        <v>490</v>
      </c>
      <c r="F92" t="s">
        <v>490</v>
      </c>
      <c r="G92" t="s">
        <v>489</v>
      </c>
      <c r="H92" t="s">
        <v>490</v>
      </c>
      <c r="I92" t="s">
        <v>490</v>
      </c>
      <c r="J92" t="s">
        <v>489</v>
      </c>
      <c r="K92" t="s">
        <v>490</v>
      </c>
      <c r="L92" t="s">
        <v>490</v>
      </c>
      <c r="M92" t="s">
        <v>489</v>
      </c>
      <c r="N92" t="s">
        <v>489</v>
      </c>
      <c r="O92" t="s">
        <v>489</v>
      </c>
      <c r="P92" t="s">
        <v>490</v>
      </c>
      <c r="Q92" t="s">
        <v>489</v>
      </c>
      <c r="R92" t="s">
        <v>490</v>
      </c>
      <c r="S92" t="s">
        <v>490</v>
      </c>
      <c r="T92" t="s">
        <v>490</v>
      </c>
      <c r="U92" t="s">
        <v>490</v>
      </c>
      <c r="V92" t="s">
        <v>489</v>
      </c>
      <c r="W92" t="s">
        <v>490</v>
      </c>
      <c r="X92" t="s">
        <v>490</v>
      </c>
      <c r="Y92" t="s">
        <v>489</v>
      </c>
    </row>
    <row r="93" spans="1:25">
      <c r="A93" t="s">
        <v>974</v>
      </c>
      <c r="B93" t="s">
        <v>489</v>
      </c>
      <c r="C93" t="s">
        <v>490</v>
      </c>
      <c r="D93" t="s">
        <v>490</v>
      </c>
      <c r="E93" t="s">
        <v>489</v>
      </c>
      <c r="F93" t="s">
        <v>490</v>
      </c>
      <c r="G93" t="s">
        <v>490</v>
      </c>
      <c r="H93" t="s">
        <v>489</v>
      </c>
      <c r="I93" t="s">
        <v>489</v>
      </c>
      <c r="J93" t="s">
        <v>490</v>
      </c>
      <c r="K93" t="s">
        <v>489</v>
      </c>
      <c r="L93" t="s">
        <v>490</v>
      </c>
      <c r="M93" t="s">
        <v>490</v>
      </c>
      <c r="N93" t="s">
        <v>489</v>
      </c>
      <c r="O93" t="s">
        <v>490</v>
      </c>
      <c r="P93" t="s">
        <v>490</v>
      </c>
      <c r="Q93" t="s">
        <v>489</v>
      </c>
      <c r="R93" t="s">
        <v>490</v>
      </c>
      <c r="S93" t="s">
        <v>490</v>
      </c>
      <c r="T93" t="s">
        <v>490</v>
      </c>
      <c r="U93" t="s">
        <v>490</v>
      </c>
      <c r="V93" t="s">
        <v>489</v>
      </c>
      <c r="W93" t="s">
        <v>490</v>
      </c>
      <c r="X93" t="s">
        <v>490</v>
      </c>
      <c r="Y93" t="s">
        <v>489</v>
      </c>
    </row>
    <row r="94" spans="1:25">
      <c r="A94" t="s">
        <v>974</v>
      </c>
      <c r="B94" t="s">
        <v>489</v>
      </c>
      <c r="C94" t="s">
        <v>489</v>
      </c>
      <c r="D94" t="s">
        <v>490</v>
      </c>
      <c r="E94" t="s">
        <v>489</v>
      </c>
      <c r="F94" t="s">
        <v>489</v>
      </c>
      <c r="G94" t="s">
        <v>490</v>
      </c>
      <c r="H94" t="s">
        <v>489</v>
      </c>
      <c r="I94" t="s">
        <v>490</v>
      </c>
      <c r="J94" t="s">
        <v>490</v>
      </c>
      <c r="K94" t="s">
        <v>489</v>
      </c>
      <c r="L94" t="s">
        <v>490</v>
      </c>
      <c r="M94" t="s">
        <v>490</v>
      </c>
      <c r="N94" t="s">
        <v>489</v>
      </c>
      <c r="O94" t="s">
        <v>490</v>
      </c>
      <c r="P94" t="s">
        <v>490</v>
      </c>
      <c r="Q94" t="s">
        <v>489</v>
      </c>
      <c r="R94" t="s">
        <v>490</v>
      </c>
      <c r="S94" t="s">
        <v>490</v>
      </c>
      <c r="T94" t="s">
        <v>490</v>
      </c>
      <c r="U94" t="s">
        <v>490</v>
      </c>
      <c r="V94" t="s">
        <v>489</v>
      </c>
      <c r="W94" t="s">
        <v>490</v>
      </c>
      <c r="X94" t="s">
        <v>490</v>
      </c>
      <c r="Y94" t="s">
        <v>489</v>
      </c>
    </row>
    <row r="95" spans="1:25">
      <c r="A95" t="s">
        <v>972</v>
      </c>
      <c r="B95" t="s">
        <v>489</v>
      </c>
      <c r="C95" t="s">
        <v>490</v>
      </c>
      <c r="D95" t="s">
        <v>490</v>
      </c>
      <c r="E95" t="s">
        <v>489</v>
      </c>
      <c r="F95" t="s">
        <v>490</v>
      </c>
      <c r="G95" t="s">
        <v>490</v>
      </c>
      <c r="H95" t="s">
        <v>489</v>
      </c>
      <c r="I95" t="s">
        <v>490</v>
      </c>
      <c r="J95" t="s">
        <v>490</v>
      </c>
      <c r="K95" t="s">
        <v>489</v>
      </c>
      <c r="L95" t="s">
        <v>490</v>
      </c>
      <c r="M95" t="s">
        <v>490</v>
      </c>
      <c r="N95" t="s">
        <v>489</v>
      </c>
      <c r="O95" t="s">
        <v>490</v>
      </c>
      <c r="P95" t="s">
        <v>490</v>
      </c>
      <c r="Q95" t="s">
        <v>489</v>
      </c>
      <c r="R95" t="s">
        <v>490</v>
      </c>
      <c r="S95" t="s">
        <v>490</v>
      </c>
      <c r="T95" t="s">
        <v>490</v>
      </c>
      <c r="U95" t="s">
        <v>490</v>
      </c>
      <c r="V95" t="s">
        <v>489</v>
      </c>
      <c r="W95" t="s">
        <v>490</v>
      </c>
      <c r="X95" t="s">
        <v>490</v>
      </c>
      <c r="Y95" t="s">
        <v>489</v>
      </c>
    </row>
    <row r="96" spans="1:25">
      <c r="A96" t="s">
        <v>972</v>
      </c>
      <c r="B96" t="s">
        <v>489</v>
      </c>
      <c r="C96" t="s">
        <v>490</v>
      </c>
      <c r="D96" t="s">
        <v>490</v>
      </c>
      <c r="E96" t="s">
        <v>489</v>
      </c>
      <c r="F96" t="s">
        <v>490</v>
      </c>
      <c r="G96" t="s">
        <v>490</v>
      </c>
      <c r="H96" t="s">
        <v>489</v>
      </c>
      <c r="I96" t="s">
        <v>490</v>
      </c>
      <c r="J96" t="s">
        <v>490</v>
      </c>
      <c r="K96" t="s">
        <v>489</v>
      </c>
      <c r="L96" t="s">
        <v>490</v>
      </c>
      <c r="M96" t="s">
        <v>490</v>
      </c>
      <c r="N96" t="s">
        <v>489</v>
      </c>
      <c r="O96" t="s">
        <v>490</v>
      </c>
      <c r="P96" t="s">
        <v>490</v>
      </c>
      <c r="Q96" t="s">
        <v>489</v>
      </c>
      <c r="R96" t="s">
        <v>490</v>
      </c>
      <c r="S96" t="s">
        <v>490</v>
      </c>
      <c r="T96" t="s">
        <v>490</v>
      </c>
      <c r="U96" t="s">
        <v>490</v>
      </c>
      <c r="V96" t="s">
        <v>489</v>
      </c>
      <c r="W96" t="s">
        <v>490</v>
      </c>
      <c r="X96" t="s">
        <v>490</v>
      </c>
      <c r="Y96" t="s">
        <v>489</v>
      </c>
    </row>
    <row r="97" spans="1:25">
      <c r="A97" t="s">
        <v>972</v>
      </c>
      <c r="B97" t="s">
        <v>489</v>
      </c>
      <c r="C97" t="s">
        <v>490</v>
      </c>
      <c r="D97" t="s">
        <v>490</v>
      </c>
      <c r="E97" t="s">
        <v>490</v>
      </c>
      <c r="F97" t="s">
        <v>490</v>
      </c>
      <c r="G97" t="s">
        <v>489</v>
      </c>
      <c r="H97" t="s">
        <v>489</v>
      </c>
      <c r="I97" t="s">
        <v>490</v>
      </c>
      <c r="J97" t="s">
        <v>490</v>
      </c>
      <c r="K97" t="s">
        <v>490</v>
      </c>
      <c r="L97" t="s">
        <v>490</v>
      </c>
      <c r="M97" t="s">
        <v>489</v>
      </c>
      <c r="N97" t="s">
        <v>489</v>
      </c>
      <c r="O97" t="s">
        <v>490</v>
      </c>
      <c r="P97" t="s">
        <v>490</v>
      </c>
      <c r="Q97" t="s">
        <v>489</v>
      </c>
      <c r="R97" t="s">
        <v>490</v>
      </c>
      <c r="S97" t="s">
        <v>490</v>
      </c>
      <c r="T97" t="s">
        <v>490</v>
      </c>
      <c r="U97" t="s">
        <v>490</v>
      </c>
      <c r="V97" t="s">
        <v>489</v>
      </c>
      <c r="W97" t="s">
        <v>490</v>
      </c>
      <c r="X97" t="s">
        <v>490</v>
      </c>
      <c r="Y97" t="s">
        <v>489</v>
      </c>
    </row>
    <row r="98" spans="1:25">
      <c r="A98" t="s">
        <v>973</v>
      </c>
      <c r="B98" t="s">
        <v>489</v>
      </c>
      <c r="C98" t="s">
        <v>489</v>
      </c>
      <c r="D98" t="s">
        <v>490</v>
      </c>
      <c r="E98" t="s">
        <v>489</v>
      </c>
      <c r="F98" t="s">
        <v>489</v>
      </c>
      <c r="G98" t="s">
        <v>490</v>
      </c>
      <c r="H98" t="s">
        <v>489</v>
      </c>
      <c r="I98" t="s">
        <v>489</v>
      </c>
      <c r="J98" t="s">
        <v>490</v>
      </c>
      <c r="K98" t="s">
        <v>489</v>
      </c>
      <c r="L98" t="s">
        <v>489</v>
      </c>
      <c r="M98" t="s">
        <v>490</v>
      </c>
      <c r="N98" t="s">
        <v>489</v>
      </c>
      <c r="O98" t="s">
        <v>489</v>
      </c>
      <c r="P98" t="s">
        <v>490</v>
      </c>
      <c r="Q98" t="s">
        <v>490</v>
      </c>
      <c r="R98" t="s">
        <v>490</v>
      </c>
      <c r="S98" t="s">
        <v>489</v>
      </c>
      <c r="T98" t="s">
        <v>490</v>
      </c>
      <c r="U98" t="s">
        <v>490</v>
      </c>
      <c r="V98" t="s">
        <v>489</v>
      </c>
      <c r="W98" t="s">
        <v>490</v>
      </c>
      <c r="X98" t="s">
        <v>490</v>
      </c>
      <c r="Y98" t="s">
        <v>489</v>
      </c>
    </row>
    <row r="99" spans="1:25">
      <c r="A99" t="s">
        <v>954</v>
      </c>
      <c r="B99" t="s">
        <v>489</v>
      </c>
      <c r="C99" t="s">
        <v>489</v>
      </c>
      <c r="D99" t="s">
        <v>490</v>
      </c>
      <c r="E99" t="s">
        <v>489</v>
      </c>
      <c r="F99" t="s">
        <v>489</v>
      </c>
      <c r="G99" t="s">
        <v>490</v>
      </c>
      <c r="H99" t="s">
        <v>489</v>
      </c>
      <c r="I99" t="s">
        <v>489</v>
      </c>
      <c r="J99" t="s">
        <v>490</v>
      </c>
      <c r="K99" t="s">
        <v>489</v>
      </c>
      <c r="L99" t="s">
        <v>489</v>
      </c>
      <c r="M99" t="s">
        <v>490</v>
      </c>
      <c r="N99" t="s">
        <v>489</v>
      </c>
      <c r="O99" t="s">
        <v>489</v>
      </c>
      <c r="P99" t="s">
        <v>490</v>
      </c>
      <c r="Q99" t="s">
        <v>490</v>
      </c>
      <c r="R99" t="s">
        <v>490</v>
      </c>
      <c r="S99" t="s">
        <v>489</v>
      </c>
      <c r="T99" t="s">
        <v>490</v>
      </c>
      <c r="U99" t="s">
        <v>490</v>
      </c>
      <c r="V99" t="s">
        <v>489</v>
      </c>
      <c r="W99" t="s">
        <v>490</v>
      </c>
      <c r="X99" t="s">
        <v>490</v>
      </c>
      <c r="Y99" t="s">
        <v>489</v>
      </c>
    </row>
    <row r="100" spans="1:25">
      <c r="A100" t="s">
        <v>972</v>
      </c>
      <c r="B100" t="s">
        <v>489</v>
      </c>
      <c r="C100" t="s">
        <v>489</v>
      </c>
      <c r="D100" t="s">
        <v>490</v>
      </c>
      <c r="E100" t="s">
        <v>489</v>
      </c>
      <c r="F100" t="s">
        <v>489</v>
      </c>
      <c r="G100" t="s">
        <v>490</v>
      </c>
      <c r="H100" t="s">
        <v>489</v>
      </c>
      <c r="I100" t="s">
        <v>489</v>
      </c>
      <c r="J100" t="s">
        <v>490</v>
      </c>
      <c r="K100" t="s">
        <v>489</v>
      </c>
      <c r="L100" t="s">
        <v>489</v>
      </c>
      <c r="M100" t="s">
        <v>490</v>
      </c>
      <c r="N100" t="s">
        <v>489</v>
      </c>
      <c r="O100" t="s">
        <v>489</v>
      </c>
      <c r="P100" t="s">
        <v>490</v>
      </c>
      <c r="Q100" t="s">
        <v>490</v>
      </c>
      <c r="R100" t="s">
        <v>490</v>
      </c>
      <c r="S100" t="s">
        <v>489</v>
      </c>
      <c r="T100" t="s">
        <v>490</v>
      </c>
      <c r="U100" t="s">
        <v>490</v>
      </c>
      <c r="V100" t="s">
        <v>489</v>
      </c>
      <c r="W100" t="s">
        <v>490</v>
      </c>
      <c r="X100" t="s">
        <v>490</v>
      </c>
      <c r="Y100" t="s">
        <v>489</v>
      </c>
    </row>
    <row r="101" spans="1:25">
      <c r="A101" t="s">
        <v>972</v>
      </c>
      <c r="B101" t="s">
        <v>489</v>
      </c>
      <c r="C101" t="s">
        <v>489</v>
      </c>
      <c r="D101" t="s">
        <v>490</v>
      </c>
      <c r="E101" t="s">
        <v>489</v>
      </c>
      <c r="F101" t="s">
        <v>489</v>
      </c>
      <c r="G101" t="s">
        <v>490</v>
      </c>
      <c r="H101" t="s">
        <v>489</v>
      </c>
      <c r="I101" t="s">
        <v>489</v>
      </c>
      <c r="J101" t="s">
        <v>490</v>
      </c>
      <c r="K101" t="s">
        <v>489</v>
      </c>
      <c r="L101" t="s">
        <v>489</v>
      </c>
      <c r="M101" t="s">
        <v>490</v>
      </c>
      <c r="N101" t="s">
        <v>489</v>
      </c>
      <c r="O101" t="s">
        <v>489</v>
      </c>
      <c r="P101" t="s">
        <v>490</v>
      </c>
      <c r="Q101" t="s">
        <v>490</v>
      </c>
      <c r="R101" t="s">
        <v>490</v>
      </c>
      <c r="S101" t="s">
        <v>489</v>
      </c>
      <c r="T101" t="s">
        <v>490</v>
      </c>
      <c r="U101" t="s">
        <v>490</v>
      </c>
      <c r="V101" t="s">
        <v>489</v>
      </c>
      <c r="W101" t="s">
        <v>490</v>
      </c>
      <c r="X101" t="s">
        <v>490</v>
      </c>
      <c r="Y101" t="s">
        <v>489</v>
      </c>
    </row>
    <row r="102" spans="1:25">
      <c r="A102" t="s">
        <v>972</v>
      </c>
      <c r="B102" t="s">
        <v>489</v>
      </c>
      <c r="C102" t="s">
        <v>489</v>
      </c>
      <c r="D102" t="s">
        <v>490</v>
      </c>
      <c r="E102" t="s">
        <v>489</v>
      </c>
      <c r="F102" t="s">
        <v>489</v>
      </c>
      <c r="G102" t="s">
        <v>490</v>
      </c>
      <c r="H102" t="s">
        <v>489</v>
      </c>
      <c r="I102" t="s">
        <v>489</v>
      </c>
      <c r="J102" t="s">
        <v>490</v>
      </c>
      <c r="K102" t="s">
        <v>489</v>
      </c>
      <c r="L102" t="s">
        <v>489</v>
      </c>
      <c r="M102" t="s">
        <v>490</v>
      </c>
      <c r="N102" t="s">
        <v>489</v>
      </c>
      <c r="O102" t="s">
        <v>489</v>
      </c>
      <c r="P102" t="s">
        <v>490</v>
      </c>
      <c r="Q102" t="s">
        <v>490</v>
      </c>
      <c r="R102" t="s">
        <v>490</v>
      </c>
      <c r="S102" t="s">
        <v>489</v>
      </c>
      <c r="T102" t="s">
        <v>490</v>
      </c>
      <c r="U102" t="s">
        <v>490</v>
      </c>
      <c r="V102" t="s">
        <v>489</v>
      </c>
      <c r="W102" t="s">
        <v>490</v>
      </c>
      <c r="X102" t="s">
        <v>490</v>
      </c>
      <c r="Y102" t="s">
        <v>489</v>
      </c>
    </row>
    <row r="103" spans="1:25">
      <c r="A103" t="s">
        <v>972</v>
      </c>
      <c r="B103" t="s">
        <v>489</v>
      </c>
      <c r="C103" t="s">
        <v>490</v>
      </c>
      <c r="D103" t="s">
        <v>490</v>
      </c>
      <c r="E103" t="s">
        <v>489</v>
      </c>
      <c r="F103" t="s">
        <v>489</v>
      </c>
      <c r="G103" t="s">
        <v>490</v>
      </c>
      <c r="H103" t="s">
        <v>489</v>
      </c>
      <c r="I103" t="s">
        <v>489</v>
      </c>
      <c r="J103" t="s">
        <v>490</v>
      </c>
      <c r="K103" t="s">
        <v>489</v>
      </c>
      <c r="L103" t="s">
        <v>489</v>
      </c>
      <c r="M103" t="s">
        <v>490</v>
      </c>
      <c r="N103" t="s">
        <v>489</v>
      </c>
      <c r="O103" t="s">
        <v>489</v>
      </c>
      <c r="P103" t="s">
        <v>490</v>
      </c>
      <c r="Q103" t="s">
        <v>490</v>
      </c>
      <c r="R103" t="s">
        <v>490</v>
      </c>
      <c r="S103" t="s">
        <v>489</v>
      </c>
      <c r="T103" t="s">
        <v>490</v>
      </c>
      <c r="U103" t="s">
        <v>490</v>
      </c>
      <c r="V103" t="s">
        <v>489</v>
      </c>
      <c r="W103" t="s">
        <v>490</v>
      </c>
      <c r="X103" t="s">
        <v>490</v>
      </c>
      <c r="Y103" t="s">
        <v>489</v>
      </c>
    </row>
    <row r="104" spans="1:25">
      <c r="A104" t="s">
        <v>974</v>
      </c>
      <c r="B104" t="s">
        <v>490</v>
      </c>
      <c r="C104" t="s">
        <v>490</v>
      </c>
      <c r="D104" t="s">
        <v>489</v>
      </c>
      <c r="E104" t="s">
        <v>489</v>
      </c>
      <c r="F104" t="s">
        <v>489</v>
      </c>
      <c r="G104" t="s">
        <v>490</v>
      </c>
      <c r="H104" t="s">
        <v>489</v>
      </c>
      <c r="I104" t="s">
        <v>489</v>
      </c>
      <c r="J104" t="s">
        <v>490</v>
      </c>
      <c r="K104" t="s">
        <v>489</v>
      </c>
      <c r="L104" t="s">
        <v>489</v>
      </c>
      <c r="M104" t="s">
        <v>490</v>
      </c>
      <c r="N104" t="s">
        <v>489</v>
      </c>
      <c r="O104" t="s">
        <v>489</v>
      </c>
      <c r="P104" t="s">
        <v>490</v>
      </c>
      <c r="Q104" t="s">
        <v>490</v>
      </c>
      <c r="R104" t="s">
        <v>490</v>
      </c>
      <c r="S104" t="s">
        <v>489</v>
      </c>
      <c r="T104" t="s">
        <v>490</v>
      </c>
      <c r="U104" t="s">
        <v>490</v>
      </c>
      <c r="V104" t="s">
        <v>489</v>
      </c>
      <c r="W104" t="s">
        <v>490</v>
      </c>
      <c r="X104" t="s">
        <v>490</v>
      </c>
      <c r="Y104" t="s">
        <v>489</v>
      </c>
    </row>
    <row r="105" spans="1:25">
      <c r="A105" t="s">
        <v>972</v>
      </c>
      <c r="B105" t="s">
        <v>489</v>
      </c>
      <c r="C105" t="s">
        <v>489</v>
      </c>
      <c r="D105" t="s">
        <v>490</v>
      </c>
      <c r="E105" t="s">
        <v>489</v>
      </c>
      <c r="F105" t="s">
        <v>489</v>
      </c>
      <c r="G105" t="s">
        <v>490</v>
      </c>
      <c r="H105" t="s">
        <v>490</v>
      </c>
      <c r="I105" t="s">
        <v>490</v>
      </c>
      <c r="J105" t="s">
        <v>489</v>
      </c>
      <c r="K105" t="s">
        <v>489</v>
      </c>
      <c r="L105" t="s">
        <v>489</v>
      </c>
      <c r="M105" t="s">
        <v>490</v>
      </c>
      <c r="N105" t="s">
        <v>489</v>
      </c>
      <c r="O105" t="s">
        <v>489</v>
      </c>
      <c r="P105" t="s">
        <v>490</v>
      </c>
      <c r="Q105" t="s">
        <v>490</v>
      </c>
      <c r="R105" t="s">
        <v>490</v>
      </c>
      <c r="S105" t="s">
        <v>489</v>
      </c>
      <c r="T105" t="s">
        <v>490</v>
      </c>
      <c r="U105" t="s">
        <v>490</v>
      </c>
      <c r="V105" t="s">
        <v>489</v>
      </c>
      <c r="W105" t="s">
        <v>490</v>
      </c>
      <c r="X105" t="s">
        <v>490</v>
      </c>
      <c r="Y105" t="s">
        <v>489</v>
      </c>
    </row>
    <row r="106" spans="1:25">
      <c r="A106" t="s">
        <v>972</v>
      </c>
      <c r="B106" t="s">
        <v>489</v>
      </c>
      <c r="C106" t="s">
        <v>490</v>
      </c>
      <c r="D106" t="s">
        <v>490</v>
      </c>
      <c r="E106" t="s">
        <v>489</v>
      </c>
      <c r="F106" t="s">
        <v>490</v>
      </c>
      <c r="G106" t="s">
        <v>490</v>
      </c>
      <c r="H106" t="s">
        <v>489</v>
      </c>
      <c r="I106" t="s">
        <v>490</v>
      </c>
      <c r="J106" t="s">
        <v>490</v>
      </c>
      <c r="K106" t="s">
        <v>489</v>
      </c>
      <c r="L106" t="s">
        <v>490</v>
      </c>
      <c r="M106" t="s">
        <v>490</v>
      </c>
      <c r="N106" t="s">
        <v>489</v>
      </c>
      <c r="O106" t="s">
        <v>489</v>
      </c>
      <c r="P106" t="s">
        <v>490</v>
      </c>
      <c r="Q106" t="s">
        <v>490</v>
      </c>
      <c r="R106" t="s">
        <v>490</v>
      </c>
      <c r="S106" t="s">
        <v>489</v>
      </c>
      <c r="T106" t="s">
        <v>490</v>
      </c>
      <c r="U106" t="s">
        <v>490</v>
      </c>
      <c r="V106" t="s">
        <v>489</v>
      </c>
      <c r="W106" t="s">
        <v>490</v>
      </c>
      <c r="X106" t="s">
        <v>490</v>
      </c>
      <c r="Y106" t="s">
        <v>489</v>
      </c>
    </row>
    <row r="107" spans="1:25">
      <c r="A107" t="s">
        <v>972</v>
      </c>
      <c r="B107" t="s">
        <v>489</v>
      </c>
      <c r="C107" t="s">
        <v>490</v>
      </c>
      <c r="D107" t="s">
        <v>490</v>
      </c>
      <c r="E107" t="s">
        <v>489</v>
      </c>
      <c r="F107" t="s">
        <v>490</v>
      </c>
      <c r="G107" t="s">
        <v>490</v>
      </c>
      <c r="H107" t="s">
        <v>489</v>
      </c>
      <c r="I107" t="s">
        <v>490</v>
      </c>
      <c r="J107" t="s">
        <v>490</v>
      </c>
      <c r="K107" t="s">
        <v>489</v>
      </c>
      <c r="L107" t="s">
        <v>490</v>
      </c>
      <c r="M107" t="s">
        <v>490</v>
      </c>
      <c r="N107" t="s">
        <v>489</v>
      </c>
      <c r="O107" t="s">
        <v>489</v>
      </c>
      <c r="P107" t="s">
        <v>490</v>
      </c>
      <c r="Q107" t="s">
        <v>490</v>
      </c>
      <c r="R107" t="s">
        <v>490</v>
      </c>
      <c r="S107" t="s">
        <v>489</v>
      </c>
      <c r="T107" t="s">
        <v>490</v>
      </c>
      <c r="U107" t="s">
        <v>490</v>
      </c>
      <c r="V107" t="s">
        <v>489</v>
      </c>
      <c r="W107" t="s">
        <v>490</v>
      </c>
      <c r="X107" t="s">
        <v>490</v>
      </c>
      <c r="Y107" t="s">
        <v>489</v>
      </c>
    </row>
    <row r="108" spans="1:25">
      <c r="A108" t="s">
        <v>974</v>
      </c>
      <c r="B108" t="s">
        <v>489</v>
      </c>
      <c r="C108" t="s">
        <v>490</v>
      </c>
      <c r="D108" t="s">
        <v>490</v>
      </c>
      <c r="E108" t="s">
        <v>489</v>
      </c>
      <c r="F108" t="s">
        <v>490</v>
      </c>
      <c r="G108" t="s">
        <v>490</v>
      </c>
      <c r="H108" t="s">
        <v>489</v>
      </c>
      <c r="I108" t="s">
        <v>490</v>
      </c>
      <c r="J108" t="s">
        <v>490</v>
      </c>
      <c r="K108" t="s">
        <v>489</v>
      </c>
      <c r="L108" t="s">
        <v>490</v>
      </c>
      <c r="M108" t="s">
        <v>490</v>
      </c>
      <c r="N108" t="s">
        <v>489</v>
      </c>
      <c r="O108" t="s">
        <v>489</v>
      </c>
      <c r="P108" t="s">
        <v>490</v>
      </c>
      <c r="Q108" t="s">
        <v>490</v>
      </c>
      <c r="R108" t="s">
        <v>490</v>
      </c>
      <c r="S108" t="s">
        <v>489</v>
      </c>
      <c r="T108" t="s">
        <v>490</v>
      </c>
      <c r="U108" t="s">
        <v>490</v>
      </c>
      <c r="V108" t="s">
        <v>489</v>
      </c>
      <c r="W108" t="s">
        <v>490</v>
      </c>
      <c r="X108" t="s">
        <v>490</v>
      </c>
      <c r="Y108" t="s">
        <v>489</v>
      </c>
    </row>
    <row r="109" spans="1:25">
      <c r="A109" t="s">
        <v>974</v>
      </c>
      <c r="B109" t="s">
        <v>489</v>
      </c>
      <c r="C109" t="s">
        <v>490</v>
      </c>
      <c r="D109" t="s">
        <v>490</v>
      </c>
      <c r="E109" t="s">
        <v>489</v>
      </c>
      <c r="F109" t="s">
        <v>490</v>
      </c>
      <c r="G109" t="s">
        <v>490</v>
      </c>
      <c r="H109" t="s">
        <v>489</v>
      </c>
      <c r="I109" t="s">
        <v>490</v>
      </c>
      <c r="J109" t="s">
        <v>490</v>
      </c>
      <c r="K109" t="s">
        <v>490</v>
      </c>
      <c r="L109" t="s">
        <v>490</v>
      </c>
      <c r="M109" t="s">
        <v>489</v>
      </c>
      <c r="N109" t="s">
        <v>489</v>
      </c>
      <c r="O109" t="s">
        <v>489</v>
      </c>
      <c r="P109" t="s">
        <v>490</v>
      </c>
      <c r="Q109" t="s">
        <v>490</v>
      </c>
      <c r="R109" t="s">
        <v>490</v>
      </c>
      <c r="S109" t="s">
        <v>489</v>
      </c>
      <c r="T109" t="s">
        <v>490</v>
      </c>
      <c r="U109" t="s">
        <v>490</v>
      </c>
      <c r="V109" t="s">
        <v>489</v>
      </c>
      <c r="W109" t="s">
        <v>490</v>
      </c>
      <c r="X109" t="s">
        <v>490</v>
      </c>
      <c r="Y109" t="s">
        <v>489</v>
      </c>
    </row>
    <row r="110" spans="1:25">
      <c r="A110" t="s">
        <v>973</v>
      </c>
      <c r="B110" t="s">
        <v>490</v>
      </c>
      <c r="C110" t="s">
        <v>490</v>
      </c>
      <c r="D110" t="s">
        <v>489</v>
      </c>
      <c r="E110" t="s">
        <v>490</v>
      </c>
      <c r="F110" t="s">
        <v>490</v>
      </c>
      <c r="G110" t="s">
        <v>489</v>
      </c>
      <c r="H110" t="s">
        <v>489</v>
      </c>
      <c r="I110" t="s">
        <v>490</v>
      </c>
      <c r="J110" t="s">
        <v>490</v>
      </c>
      <c r="K110" t="s">
        <v>490</v>
      </c>
      <c r="L110" t="s">
        <v>490</v>
      </c>
      <c r="M110" t="s">
        <v>489</v>
      </c>
      <c r="N110" t="s">
        <v>489</v>
      </c>
      <c r="O110" t="s">
        <v>489</v>
      </c>
      <c r="P110" t="s">
        <v>490</v>
      </c>
      <c r="Q110" t="s">
        <v>490</v>
      </c>
      <c r="R110" t="s">
        <v>490</v>
      </c>
      <c r="S110" t="s">
        <v>489</v>
      </c>
      <c r="T110" t="s">
        <v>490</v>
      </c>
      <c r="U110" t="s">
        <v>490</v>
      </c>
      <c r="V110" t="s">
        <v>489</v>
      </c>
      <c r="W110" t="s">
        <v>490</v>
      </c>
      <c r="X110" t="s">
        <v>490</v>
      </c>
      <c r="Y110" t="s">
        <v>489</v>
      </c>
    </row>
    <row r="111" spans="1:25">
      <c r="A111" t="s">
        <v>972</v>
      </c>
      <c r="B111" t="s">
        <v>490</v>
      </c>
      <c r="C111" t="s">
        <v>490</v>
      </c>
      <c r="D111" t="s">
        <v>489</v>
      </c>
      <c r="E111" t="s">
        <v>489</v>
      </c>
      <c r="F111" t="s">
        <v>490</v>
      </c>
      <c r="G111" t="s">
        <v>490</v>
      </c>
      <c r="H111" t="s">
        <v>490</v>
      </c>
      <c r="I111" t="s">
        <v>490</v>
      </c>
      <c r="J111" t="s">
        <v>489</v>
      </c>
      <c r="K111" t="s">
        <v>490</v>
      </c>
      <c r="L111" t="s">
        <v>490</v>
      </c>
      <c r="M111" t="s">
        <v>489</v>
      </c>
      <c r="N111" t="s">
        <v>489</v>
      </c>
      <c r="O111" t="s">
        <v>489</v>
      </c>
      <c r="P111" t="s">
        <v>490</v>
      </c>
      <c r="Q111" t="s">
        <v>490</v>
      </c>
      <c r="R111" t="s">
        <v>490</v>
      </c>
      <c r="S111" t="s">
        <v>489</v>
      </c>
      <c r="T111" t="s">
        <v>490</v>
      </c>
      <c r="U111" t="s">
        <v>490</v>
      </c>
      <c r="V111" t="s">
        <v>489</v>
      </c>
      <c r="W111" t="s">
        <v>490</v>
      </c>
      <c r="X111" t="s">
        <v>490</v>
      </c>
      <c r="Y111" t="s">
        <v>489</v>
      </c>
    </row>
    <row r="112" spans="1:25">
      <c r="A112" t="s">
        <v>972</v>
      </c>
      <c r="B112" t="s">
        <v>489</v>
      </c>
      <c r="C112" t="s">
        <v>490</v>
      </c>
      <c r="D112" t="s">
        <v>490</v>
      </c>
      <c r="E112" t="s">
        <v>490</v>
      </c>
      <c r="F112" t="s">
        <v>490</v>
      </c>
      <c r="G112" t="s">
        <v>489</v>
      </c>
      <c r="H112" t="s">
        <v>490</v>
      </c>
      <c r="I112" t="s">
        <v>490</v>
      </c>
      <c r="J112" t="s">
        <v>489</v>
      </c>
      <c r="K112" t="s">
        <v>490</v>
      </c>
      <c r="L112" t="s">
        <v>490</v>
      </c>
      <c r="M112" t="s">
        <v>489</v>
      </c>
      <c r="N112" t="s">
        <v>489</v>
      </c>
      <c r="O112" t="s">
        <v>489</v>
      </c>
      <c r="P112" t="s">
        <v>490</v>
      </c>
      <c r="Q112" t="s">
        <v>490</v>
      </c>
      <c r="R112" t="s">
        <v>490</v>
      </c>
      <c r="S112" t="s">
        <v>489</v>
      </c>
      <c r="T112" t="s">
        <v>490</v>
      </c>
      <c r="U112" t="s">
        <v>490</v>
      </c>
      <c r="V112" t="s">
        <v>489</v>
      </c>
      <c r="W112" t="s">
        <v>490</v>
      </c>
      <c r="X112" t="s">
        <v>490</v>
      </c>
      <c r="Y112" t="s">
        <v>489</v>
      </c>
    </row>
    <row r="113" spans="1:25">
      <c r="A113" t="s">
        <v>972</v>
      </c>
      <c r="B113" t="s">
        <v>490</v>
      </c>
      <c r="C113" t="s">
        <v>490</v>
      </c>
      <c r="D113" t="s">
        <v>489</v>
      </c>
      <c r="E113" t="s">
        <v>490</v>
      </c>
      <c r="F113" t="s">
        <v>490</v>
      </c>
      <c r="G113" t="s">
        <v>489</v>
      </c>
      <c r="H113" t="s">
        <v>490</v>
      </c>
      <c r="I113" t="s">
        <v>490</v>
      </c>
      <c r="J113" t="s">
        <v>489</v>
      </c>
      <c r="K113" t="s">
        <v>490</v>
      </c>
      <c r="L113" t="s">
        <v>490</v>
      </c>
      <c r="M113" t="s">
        <v>489</v>
      </c>
      <c r="N113" t="s">
        <v>489</v>
      </c>
      <c r="O113" t="s">
        <v>489</v>
      </c>
      <c r="P113" t="s">
        <v>490</v>
      </c>
      <c r="Q113" t="s">
        <v>490</v>
      </c>
      <c r="R113" t="s">
        <v>490</v>
      </c>
      <c r="S113" t="s">
        <v>489</v>
      </c>
      <c r="T113" t="s">
        <v>490</v>
      </c>
      <c r="U113" t="s">
        <v>490</v>
      </c>
      <c r="V113" t="s">
        <v>489</v>
      </c>
      <c r="W113" t="s">
        <v>490</v>
      </c>
      <c r="X113" t="s">
        <v>490</v>
      </c>
      <c r="Y113" t="s">
        <v>489</v>
      </c>
    </row>
    <row r="114" spans="1:25">
      <c r="A114" t="s">
        <v>972</v>
      </c>
      <c r="B114" t="s">
        <v>490</v>
      </c>
      <c r="C114" t="s">
        <v>489</v>
      </c>
      <c r="D114" t="s">
        <v>490</v>
      </c>
      <c r="E114" t="s">
        <v>490</v>
      </c>
      <c r="F114" t="s">
        <v>489</v>
      </c>
      <c r="G114" t="s">
        <v>490</v>
      </c>
      <c r="H114" t="s">
        <v>490</v>
      </c>
      <c r="I114" t="s">
        <v>489</v>
      </c>
      <c r="J114" t="s">
        <v>490</v>
      </c>
      <c r="K114" t="s">
        <v>490</v>
      </c>
      <c r="L114" t="s">
        <v>489</v>
      </c>
      <c r="M114" t="s">
        <v>490</v>
      </c>
      <c r="N114" t="s">
        <v>490</v>
      </c>
      <c r="O114" t="s">
        <v>489</v>
      </c>
      <c r="P114" t="s">
        <v>490</v>
      </c>
      <c r="Q114" t="s">
        <v>490</v>
      </c>
      <c r="R114" t="s">
        <v>490</v>
      </c>
      <c r="S114" t="s">
        <v>489</v>
      </c>
      <c r="T114" t="s">
        <v>490</v>
      </c>
      <c r="U114" t="s">
        <v>490</v>
      </c>
      <c r="V114" t="s">
        <v>489</v>
      </c>
      <c r="W114" t="s">
        <v>490</v>
      </c>
      <c r="X114" t="s">
        <v>490</v>
      </c>
      <c r="Y114" t="s">
        <v>489</v>
      </c>
    </row>
    <row r="115" spans="1:25">
      <c r="A115" t="s">
        <v>972</v>
      </c>
      <c r="B115" t="s">
        <v>490</v>
      </c>
      <c r="C115" t="s">
        <v>489</v>
      </c>
      <c r="D115" t="s">
        <v>490</v>
      </c>
      <c r="E115" t="s">
        <v>490</v>
      </c>
      <c r="F115" t="s">
        <v>489</v>
      </c>
      <c r="G115" t="s">
        <v>490</v>
      </c>
      <c r="H115" t="s">
        <v>489</v>
      </c>
      <c r="I115" t="s">
        <v>490</v>
      </c>
      <c r="J115" t="s">
        <v>490</v>
      </c>
      <c r="K115" t="s">
        <v>490</v>
      </c>
      <c r="L115" t="s">
        <v>489</v>
      </c>
      <c r="M115" t="s">
        <v>490</v>
      </c>
      <c r="N115" t="s">
        <v>490</v>
      </c>
      <c r="O115" t="s">
        <v>489</v>
      </c>
      <c r="P115" t="s">
        <v>490</v>
      </c>
      <c r="Q115" t="s">
        <v>490</v>
      </c>
      <c r="R115" t="s">
        <v>490</v>
      </c>
      <c r="S115" t="s">
        <v>489</v>
      </c>
      <c r="T115" t="s">
        <v>490</v>
      </c>
      <c r="U115" t="s">
        <v>490</v>
      </c>
      <c r="V115" t="s">
        <v>489</v>
      </c>
      <c r="W115" t="s">
        <v>490</v>
      </c>
      <c r="X115" t="s">
        <v>490</v>
      </c>
      <c r="Y115" t="s">
        <v>489</v>
      </c>
    </row>
    <row r="116" spans="1:25">
      <c r="A116" t="s">
        <v>954</v>
      </c>
      <c r="B116" t="s">
        <v>490</v>
      </c>
      <c r="C116" t="s">
        <v>489</v>
      </c>
      <c r="D116" t="s">
        <v>490</v>
      </c>
      <c r="E116" t="s">
        <v>490</v>
      </c>
      <c r="F116" t="s">
        <v>490</v>
      </c>
      <c r="G116" t="s">
        <v>489</v>
      </c>
      <c r="H116" t="s">
        <v>490</v>
      </c>
      <c r="I116" t="s">
        <v>489</v>
      </c>
      <c r="J116" t="s">
        <v>490</v>
      </c>
      <c r="K116" t="s">
        <v>490</v>
      </c>
      <c r="L116" t="s">
        <v>490</v>
      </c>
      <c r="M116" t="s">
        <v>489</v>
      </c>
      <c r="N116" t="s">
        <v>490</v>
      </c>
      <c r="O116" t="s">
        <v>489</v>
      </c>
      <c r="P116" t="s">
        <v>490</v>
      </c>
      <c r="Q116" t="s">
        <v>490</v>
      </c>
      <c r="R116" t="s">
        <v>490</v>
      </c>
      <c r="S116" t="s">
        <v>489</v>
      </c>
      <c r="T116" t="s">
        <v>490</v>
      </c>
      <c r="U116" t="s">
        <v>490</v>
      </c>
      <c r="V116" t="s">
        <v>489</v>
      </c>
      <c r="W116" t="s">
        <v>490</v>
      </c>
      <c r="X116" t="s">
        <v>490</v>
      </c>
      <c r="Y116" t="s">
        <v>489</v>
      </c>
    </row>
    <row r="117" spans="1:25">
      <c r="A117" t="s">
        <v>972</v>
      </c>
      <c r="B117" t="s">
        <v>489</v>
      </c>
      <c r="C117" t="s">
        <v>490</v>
      </c>
      <c r="D117" t="s">
        <v>490</v>
      </c>
      <c r="E117" t="s">
        <v>490</v>
      </c>
      <c r="F117" t="s">
        <v>490</v>
      </c>
      <c r="G117" t="s">
        <v>489</v>
      </c>
      <c r="H117" t="s">
        <v>489</v>
      </c>
      <c r="I117" t="s">
        <v>490</v>
      </c>
      <c r="J117" t="s">
        <v>490</v>
      </c>
      <c r="K117" t="s">
        <v>490</v>
      </c>
      <c r="L117" t="s">
        <v>490</v>
      </c>
      <c r="M117" t="s">
        <v>489</v>
      </c>
      <c r="N117" t="s">
        <v>490</v>
      </c>
      <c r="O117" t="s">
        <v>489</v>
      </c>
      <c r="P117" t="s">
        <v>490</v>
      </c>
      <c r="Q117" t="s">
        <v>490</v>
      </c>
      <c r="R117" t="s">
        <v>490</v>
      </c>
      <c r="S117" t="s">
        <v>489</v>
      </c>
      <c r="T117" t="s">
        <v>490</v>
      </c>
      <c r="U117" t="s">
        <v>490</v>
      </c>
      <c r="V117" t="s">
        <v>489</v>
      </c>
      <c r="W117" t="s">
        <v>490</v>
      </c>
      <c r="X117" t="s">
        <v>490</v>
      </c>
      <c r="Y117" t="s">
        <v>489</v>
      </c>
    </row>
    <row r="118" spans="1:25">
      <c r="A118" t="s">
        <v>972</v>
      </c>
      <c r="B118" t="s">
        <v>489</v>
      </c>
      <c r="C118" t="s">
        <v>489</v>
      </c>
      <c r="D118" t="s">
        <v>490</v>
      </c>
      <c r="E118" t="s">
        <v>489</v>
      </c>
      <c r="F118" t="s">
        <v>489</v>
      </c>
      <c r="G118" t="s">
        <v>490</v>
      </c>
      <c r="H118" t="s">
        <v>490</v>
      </c>
      <c r="I118" t="s">
        <v>490</v>
      </c>
      <c r="J118" t="s">
        <v>489</v>
      </c>
      <c r="K118" t="s">
        <v>489</v>
      </c>
      <c r="L118" t="s">
        <v>489</v>
      </c>
      <c r="M118" t="s">
        <v>490</v>
      </c>
      <c r="N118" t="s">
        <v>489</v>
      </c>
      <c r="O118" t="s">
        <v>490</v>
      </c>
      <c r="P118" t="s">
        <v>490</v>
      </c>
      <c r="Q118" t="s">
        <v>490</v>
      </c>
      <c r="R118" t="s">
        <v>490</v>
      </c>
      <c r="S118" t="s">
        <v>489</v>
      </c>
      <c r="T118" t="s">
        <v>490</v>
      </c>
      <c r="U118" t="s">
        <v>490</v>
      </c>
      <c r="V118" t="s">
        <v>489</v>
      </c>
      <c r="W118" t="s">
        <v>490</v>
      </c>
      <c r="X118" t="s">
        <v>490</v>
      </c>
      <c r="Y118" t="s">
        <v>489</v>
      </c>
    </row>
    <row r="119" spans="1:25">
      <c r="A119" t="s">
        <v>972</v>
      </c>
      <c r="B119" t="s">
        <v>489</v>
      </c>
      <c r="C119" t="s">
        <v>490</v>
      </c>
      <c r="D119" t="s">
        <v>490</v>
      </c>
      <c r="E119" t="s">
        <v>489</v>
      </c>
      <c r="F119" t="s">
        <v>490</v>
      </c>
      <c r="G119" t="s">
        <v>490</v>
      </c>
      <c r="H119" t="s">
        <v>489</v>
      </c>
      <c r="I119" t="s">
        <v>490</v>
      </c>
      <c r="J119" t="s">
        <v>490</v>
      </c>
      <c r="K119" t="s">
        <v>489</v>
      </c>
      <c r="L119" t="s">
        <v>490</v>
      </c>
      <c r="M119" t="s">
        <v>490</v>
      </c>
      <c r="N119" t="s">
        <v>489</v>
      </c>
      <c r="O119" t="s">
        <v>490</v>
      </c>
      <c r="P119" t="s">
        <v>490</v>
      </c>
      <c r="Q119" t="s">
        <v>490</v>
      </c>
      <c r="R119" t="s">
        <v>490</v>
      </c>
      <c r="S119" t="s">
        <v>489</v>
      </c>
      <c r="T119" t="s">
        <v>490</v>
      </c>
      <c r="U119" t="s">
        <v>490</v>
      </c>
      <c r="V119" t="s">
        <v>489</v>
      </c>
      <c r="W119" t="s">
        <v>490</v>
      </c>
      <c r="X119" t="s">
        <v>490</v>
      </c>
      <c r="Y119" t="s">
        <v>489</v>
      </c>
    </row>
    <row r="120" spans="1:25">
      <c r="A120" t="s">
        <v>972</v>
      </c>
      <c r="B120" t="s">
        <v>489</v>
      </c>
      <c r="C120" t="s">
        <v>490</v>
      </c>
      <c r="D120" t="s">
        <v>490</v>
      </c>
      <c r="E120" t="s">
        <v>489</v>
      </c>
      <c r="F120" t="s">
        <v>490</v>
      </c>
      <c r="G120" t="s">
        <v>490</v>
      </c>
      <c r="H120" t="s">
        <v>489</v>
      </c>
      <c r="I120" t="s">
        <v>490</v>
      </c>
      <c r="J120" t="s">
        <v>490</v>
      </c>
      <c r="K120" t="s">
        <v>489</v>
      </c>
      <c r="L120" t="s">
        <v>490</v>
      </c>
      <c r="M120" t="s">
        <v>490</v>
      </c>
      <c r="N120" t="s">
        <v>489</v>
      </c>
      <c r="O120" t="s">
        <v>490</v>
      </c>
      <c r="P120" t="s">
        <v>490</v>
      </c>
      <c r="Q120" t="s">
        <v>490</v>
      </c>
      <c r="R120" t="s">
        <v>490</v>
      </c>
      <c r="S120" t="s">
        <v>489</v>
      </c>
      <c r="T120" t="s">
        <v>490</v>
      </c>
      <c r="U120" t="s">
        <v>490</v>
      </c>
      <c r="V120" t="s">
        <v>489</v>
      </c>
      <c r="W120" t="s">
        <v>490</v>
      </c>
      <c r="X120" t="s">
        <v>490</v>
      </c>
      <c r="Y120" t="s">
        <v>489</v>
      </c>
    </row>
    <row r="121" spans="1:25">
      <c r="A121" t="s">
        <v>972</v>
      </c>
      <c r="B121" t="s">
        <v>489</v>
      </c>
      <c r="C121" t="s">
        <v>490</v>
      </c>
      <c r="D121" t="s">
        <v>490</v>
      </c>
      <c r="E121" t="s">
        <v>489</v>
      </c>
      <c r="F121" t="s">
        <v>490</v>
      </c>
      <c r="G121" t="s">
        <v>490</v>
      </c>
      <c r="H121" t="s">
        <v>489</v>
      </c>
      <c r="I121" t="s">
        <v>490</v>
      </c>
      <c r="J121" t="s">
        <v>490</v>
      </c>
      <c r="K121" t="s">
        <v>489</v>
      </c>
      <c r="L121" t="s">
        <v>490</v>
      </c>
      <c r="M121" t="s">
        <v>490</v>
      </c>
      <c r="N121" t="s">
        <v>489</v>
      </c>
      <c r="O121" t="s">
        <v>490</v>
      </c>
      <c r="P121" t="s">
        <v>490</v>
      </c>
      <c r="Q121" t="s">
        <v>490</v>
      </c>
      <c r="R121" t="s">
        <v>490</v>
      </c>
      <c r="S121" t="s">
        <v>489</v>
      </c>
      <c r="T121" t="s">
        <v>490</v>
      </c>
      <c r="U121" t="s">
        <v>490</v>
      </c>
      <c r="V121" t="s">
        <v>489</v>
      </c>
      <c r="W121" t="s">
        <v>490</v>
      </c>
      <c r="X121" t="s">
        <v>490</v>
      </c>
      <c r="Y121" t="s">
        <v>489</v>
      </c>
    </row>
    <row r="122" spans="1:25">
      <c r="A122" t="s">
        <v>972</v>
      </c>
      <c r="B122" t="s">
        <v>489</v>
      </c>
      <c r="C122" t="s">
        <v>490</v>
      </c>
      <c r="D122" t="s">
        <v>490</v>
      </c>
      <c r="E122" t="s">
        <v>489</v>
      </c>
      <c r="F122" t="s">
        <v>490</v>
      </c>
      <c r="G122" t="s">
        <v>490</v>
      </c>
      <c r="H122" t="s">
        <v>490</v>
      </c>
      <c r="I122" t="s">
        <v>490</v>
      </c>
      <c r="J122" t="s">
        <v>489</v>
      </c>
      <c r="K122" t="s">
        <v>489</v>
      </c>
      <c r="L122" t="s">
        <v>490</v>
      </c>
      <c r="M122" t="s">
        <v>490</v>
      </c>
      <c r="N122" t="s">
        <v>489</v>
      </c>
      <c r="O122" t="s">
        <v>490</v>
      </c>
      <c r="P122" t="s">
        <v>490</v>
      </c>
      <c r="Q122" t="s">
        <v>490</v>
      </c>
      <c r="R122" t="s">
        <v>490</v>
      </c>
      <c r="S122" t="s">
        <v>489</v>
      </c>
      <c r="T122" t="s">
        <v>490</v>
      </c>
      <c r="U122" t="s">
        <v>490</v>
      </c>
      <c r="V122" t="s">
        <v>489</v>
      </c>
      <c r="W122" t="s">
        <v>490</v>
      </c>
      <c r="X122" t="s">
        <v>490</v>
      </c>
      <c r="Y122" t="s">
        <v>489</v>
      </c>
    </row>
    <row r="123" spans="1:25">
      <c r="A123" t="s">
        <v>972</v>
      </c>
      <c r="B123" t="s">
        <v>490</v>
      </c>
      <c r="C123" t="s">
        <v>490</v>
      </c>
      <c r="D123" t="s">
        <v>489</v>
      </c>
      <c r="E123" t="s">
        <v>490</v>
      </c>
      <c r="F123" t="s">
        <v>490</v>
      </c>
      <c r="G123" t="s">
        <v>489</v>
      </c>
      <c r="H123" t="s">
        <v>490</v>
      </c>
      <c r="I123" t="s">
        <v>490</v>
      </c>
      <c r="J123" t="s">
        <v>489</v>
      </c>
      <c r="K123" t="s">
        <v>490</v>
      </c>
      <c r="L123" t="s">
        <v>490</v>
      </c>
      <c r="M123" t="s">
        <v>489</v>
      </c>
      <c r="N123" t="s">
        <v>489</v>
      </c>
      <c r="O123" t="s">
        <v>490</v>
      </c>
      <c r="P123" t="s">
        <v>490</v>
      </c>
      <c r="Q123" t="s">
        <v>490</v>
      </c>
      <c r="R123" t="s">
        <v>490</v>
      </c>
      <c r="S123" t="s">
        <v>489</v>
      </c>
      <c r="T123" t="s">
        <v>490</v>
      </c>
      <c r="U123" t="s">
        <v>490</v>
      </c>
      <c r="V123" t="s">
        <v>489</v>
      </c>
      <c r="W123" t="s">
        <v>490</v>
      </c>
      <c r="X123" t="s">
        <v>490</v>
      </c>
      <c r="Y123" t="s">
        <v>489</v>
      </c>
    </row>
    <row r="124" spans="1:25">
      <c r="A124" t="s">
        <v>972</v>
      </c>
      <c r="B124" t="s">
        <v>489</v>
      </c>
      <c r="C124" t="s">
        <v>489</v>
      </c>
      <c r="D124" t="s">
        <v>490</v>
      </c>
      <c r="E124" t="s">
        <v>489</v>
      </c>
      <c r="F124" t="s">
        <v>489</v>
      </c>
      <c r="G124" t="s">
        <v>490</v>
      </c>
      <c r="H124" t="s">
        <v>489</v>
      </c>
      <c r="I124" t="s">
        <v>489</v>
      </c>
      <c r="J124" t="s">
        <v>490</v>
      </c>
      <c r="K124" t="s">
        <v>489</v>
      </c>
      <c r="L124" t="s">
        <v>489</v>
      </c>
      <c r="M124" t="s">
        <v>490</v>
      </c>
      <c r="N124" t="s">
        <v>490</v>
      </c>
      <c r="O124" t="s">
        <v>490</v>
      </c>
      <c r="P124" t="s">
        <v>489</v>
      </c>
      <c r="Q124" t="s">
        <v>490</v>
      </c>
      <c r="R124" t="s">
        <v>490</v>
      </c>
      <c r="S124" t="s">
        <v>489</v>
      </c>
      <c r="T124" t="s">
        <v>490</v>
      </c>
      <c r="U124" t="s">
        <v>490</v>
      </c>
      <c r="V124" t="s">
        <v>489</v>
      </c>
      <c r="W124" t="s">
        <v>490</v>
      </c>
      <c r="X124" t="s">
        <v>490</v>
      </c>
      <c r="Y124" t="s">
        <v>489</v>
      </c>
    </row>
    <row r="125" spans="1:25">
      <c r="A125" t="s">
        <v>972</v>
      </c>
      <c r="B125" t="s">
        <v>489</v>
      </c>
      <c r="C125" t="s">
        <v>489</v>
      </c>
      <c r="D125" t="s">
        <v>490</v>
      </c>
      <c r="E125" t="s">
        <v>489</v>
      </c>
      <c r="F125" t="s">
        <v>489</v>
      </c>
      <c r="G125" t="s">
        <v>490</v>
      </c>
      <c r="H125" t="s">
        <v>490</v>
      </c>
      <c r="I125" t="s">
        <v>490</v>
      </c>
      <c r="J125" t="s">
        <v>489</v>
      </c>
      <c r="K125" t="s">
        <v>489</v>
      </c>
      <c r="L125" t="s">
        <v>489</v>
      </c>
      <c r="M125" t="s">
        <v>490</v>
      </c>
      <c r="N125" t="s">
        <v>490</v>
      </c>
      <c r="O125" t="s">
        <v>490</v>
      </c>
      <c r="P125" t="s">
        <v>489</v>
      </c>
      <c r="Q125" t="s">
        <v>490</v>
      </c>
      <c r="R125" t="s">
        <v>490</v>
      </c>
      <c r="S125" t="s">
        <v>489</v>
      </c>
      <c r="T125" t="s">
        <v>490</v>
      </c>
      <c r="U125" t="s">
        <v>490</v>
      </c>
      <c r="V125" t="s">
        <v>489</v>
      </c>
      <c r="W125" t="s">
        <v>490</v>
      </c>
      <c r="X125" t="s">
        <v>490</v>
      </c>
      <c r="Y125" t="s">
        <v>489</v>
      </c>
    </row>
    <row r="126" spans="1:25">
      <c r="A126" t="s">
        <v>972</v>
      </c>
      <c r="B126" t="s">
        <v>490</v>
      </c>
      <c r="C126" t="s">
        <v>490</v>
      </c>
      <c r="D126" t="s">
        <v>489</v>
      </c>
      <c r="E126" t="s">
        <v>490</v>
      </c>
      <c r="F126" t="s">
        <v>490</v>
      </c>
      <c r="G126" t="s">
        <v>489</v>
      </c>
      <c r="H126" t="s">
        <v>489</v>
      </c>
      <c r="I126" t="s">
        <v>489</v>
      </c>
      <c r="J126" t="s">
        <v>490</v>
      </c>
      <c r="K126" t="s">
        <v>489</v>
      </c>
      <c r="L126" t="s">
        <v>490</v>
      </c>
      <c r="M126" t="s">
        <v>490</v>
      </c>
      <c r="N126" t="s">
        <v>490</v>
      </c>
      <c r="O126" t="s">
        <v>490</v>
      </c>
      <c r="P126" t="s">
        <v>489</v>
      </c>
      <c r="Q126" t="s">
        <v>490</v>
      </c>
      <c r="R126" t="s">
        <v>490</v>
      </c>
      <c r="S126" t="s">
        <v>489</v>
      </c>
      <c r="T126" t="s">
        <v>490</v>
      </c>
      <c r="U126" t="s">
        <v>490</v>
      </c>
      <c r="V126" t="s">
        <v>489</v>
      </c>
      <c r="W126" t="s">
        <v>490</v>
      </c>
      <c r="X126" t="s">
        <v>490</v>
      </c>
      <c r="Y126" t="s">
        <v>489</v>
      </c>
    </row>
    <row r="127" spans="1:25">
      <c r="A127" t="s">
        <v>972</v>
      </c>
      <c r="B127" t="s">
        <v>490</v>
      </c>
      <c r="C127" t="s">
        <v>490</v>
      </c>
      <c r="D127" t="s">
        <v>489</v>
      </c>
      <c r="E127" t="s">
        <v>489</v>
      </c>
      <c r="F127" t="s">
        <v>490</v>
      </c>
      <c r="G127" t="s">
        <v>490</v>
      </c>
      <c r="H127" t="s">
        <v>489</v>
      </c>
      <c r="I127" t="s">
        <v>490</v>
      </c>
      <c r="J127" t="s">
        <v>490</v>
      </c>
      <c r="K127" t="s">
        <v>489</v>
      </c>
      <c r="L127" t="s">
        <v>490</v>
      </c>
      <c r="M127" t="s">
        <v>490</v>
      </c>
      <c r="N127" t="s">
        <v>490</v>
      </c>
      <c r="O127" t="s">
        <v>490</v>
      </c>
      <c r="P127" t="s">
        <v>489</v>
      </c>
      <c r="Q127" t="s">
        <v>490</v>
      </c>
      <c r="R127" t="s">
        <v>490</v>
      </c>
      <c r="S127" t="s">
        <v>489</v>
      </c>
      <c r="T127" t="s">
        <v>490</v>
      </c>
      <c r="U127" t="s">
        <v>490</v>
      </c>
      <c r="V127" t="s">
        <v>489</v>
      </c>
      <c r="W127" t="s">
        <v>490</v>
      </c>
      <c r="X127" t="s">
        <v>490</v>
      </c>
      <c r="Y127" t="s">
        <v>489</v>
      </c>
    </row>
    <row r="128" spans="1:25">
      <c r="A128" t="s">
        <v>972</v>
      </c>
      <c r="B128" t="s">
        <v>490</v>
      </c>
      <c r="C128" t="s">
        <v>490</v>
      </c>
      <c r="D128" t="s">
        <v>489</v>
      </c>
      <c r="E128" t="s">
        <v>489</v>
      </c>
      <c r="F128" t="s">
        <v>490</v>
      </c>
      <c r="G128" t="s">
        <v>490</v>
      </c>
      <c r="H128" t="s">
        <v>490</v>
      </c>
      <c r="I128" t="s">
        <v>490</v>
      </c>
      <c r="J128" t="s">
        <v>489</v>
      </c>
      <c r="K128" t="s">
        <v>489</v>
      </c>
      <c r="L128" t="s">
        <v>490</v>
      </c>
      <c r="M128" t="s">
        <v>490</v>
      </c>
      <c r="N128" t="s">
        <v>490</v>
      </c>
      <c r="O128" t="s">
        <v>490</v>
      </c>
      <c r="P128" t="s">
        <v>489</v>
      </c>
      <c r="Q128" t="s">
        <v>490</v>
      </c>
      <c r="R128" t="s">
        <v>490</v>
      </c>
      <c r="S128" t="s">
        <v>489</v>
      </c>
      <c r="T128" t="s">
        <v>490</v>
      </c>
      <c r="U128" t="s">
        <v>490</v>
      </c>
      <c r="V128" t="s">
        <v>489</v>
      </c>
      <c r="W128" t="s">
        <v>490</v>
      </c>
      <c r="X128" t="s">
        <v>490</v>
      </c>
      <c r="Y128" t="s">
        <v>489</v>
      </c>
    </row>
    <row r="129" spans="1:31">
      <c r="A129" t="s">
        <v>972</v>
      </c>
      <c r="B129" t="s">
        <v>490</v>
      </c>
      <c r="C129" t="s">
        <v>490</v>
      </c>
      <c r="D129" t="s">
        <v>489</v>
      </c>
      <c r="E129" t="s">
        <v>490</v>
      </c>
      <c r="F129" t="s">
        <v>490</v>
      </c>
      <c r="G129" t="s">
        <v>489</v>
      </c>
      <c r="H129" t="s">
        <v>490</v>
      </c>
      <c r="I129" t="s">
        <v>490</v>
      </c>
      <c r="J129" t="s">
        <v>489</v>
      </c>
      <c r="K129" t="s">
        <v>489</v>
      </c>
      <c r="L129" t="s">
        <v>490</v>
      </c>
      <c r="M129" t="s">
        <v>490</v>
      </c>
      <c r="N129" t="s">
        <v>490</v>
      </c>
      <c r="O129" t="s">
        <v>490</v>
      </c>
      <c r="P129" t="s">
        <v>489</v>
      </c>
      <c r="Q129" t="s">
        <v>490</v>
      </c>
      <c r="R129" t="s">
        <v>490</v>
      </c>
      <c r="S129" t="s">
        <v>489</v>
      </c>
      <c r="T129" t="s">
        <v>490</v>
      </c>
      <c r="U129" t="s">
        <v>490</v>
      </c>
      <c r="V129" t="s">
        <v>489</v>
      </c>
      <c r="W129" t="s">
        <v>490</v>
      </c>
      <c r="X129" t="s">
        <v>490</v>
      </c>
      <c r="Y129" t="s">
        <v>489</v>
      </c>
    </row>
    <row r="130" spans="1:31">
      <c r="A130" t="s">
        <v>972</v>
      </c>
      <c r="B130" t="s">
        <v>489</v>
      </c>
      <c r="C130" t="s">
        <v>490</v>
      </c>
      <c r="D130" t="s">
        <v>490</v>
      </c>
      <c r="E130" t="s">
        <v>490</v>
      </c>
      <c r="F130" t="s">
        <v>490</v>
      </c>
      <c r="G130" t="s">
        <v>489</v>
      </c>
      <c r="H130" t="s">
        <v>490</v>
      </c>
      <c r="I130" t="s">
        <v>490</v>
      </c>
      <c r="J130" t="s">
        <v>489</v>
      </c>
      <c r="K130" t="s">
        <v>490</v>
      </c>
      <c r="L130" t="s">
        <v>490</v>
      </c>
      <c r="M130" t="s">
        <v>489</v>
      </c>
      <c r="N130" t="s">
        <v>490</v>
      </c>
      <c r="O130" t="s">
        <v>490</v>
      </c>
      <c r="P130" t="s">
        <v>489</v>
      </c>
      <c r="Q130" t="s">
        <v>490</v>
      </c>
      <c r="R130" t="s">
        <v>490</v>
      </c>
      <c r="S130" t="s">
        <v>489</v>
      </c>
      <c r="T130" t="s">
        <v>490</v>
      </c>
      <c r="U130" t="s">
        <v>490</v>
      </c>
      <c r="V130" t="s">
        <v>489</v>
      </c>
      <c r="W130" t="s">
        <v>490</v>
      </c>
      <c r="X130" t="s">
        <v>490</v>
      </c>
      <c r="Y130" t="s">
        <v>489</v>
      </c>
    </row>
    <row r="132" spans="1:31">
      <c r="B132" t="s">
        <v>676</v>
      </c>
      <c r="C132" t="s">
        <v>665</v>
      </c>
      <c r="D132" t="s">
        <v>666</v>
      </c>
      <c r="E132" t="s">
        <v>677</v>
      </c>
      <c r="F132" t="s">
        <v>665</v>
      </c>
      <c r="G132" t="s">
        <v>666</v>
      </c>
      <c r="H132" t="s">
        <v>678</v>
      </c>
      <c r="I132" t="s">
        <v>665</v>
      </c>
      <c r="J132" t="s">
        <v>666</v>
      </c>
      <c r="K132" t="s">
        <v>679</v>
      </c>
      <c r="L132" t="s">
        <v>665</v>
      </c>
      <c r="M132" t="s">
        <v>666</v>
      </c>
      <c r="N132" t="s">
        <v>680</v>
      </c>
      <c r="O132" t="s">
        <v>665</v>
      </c>
      <c r="P132" t="s">
        <v>666</v>
      </c>
      <c r="Q132" t="s">
        <v>681</v>
      </c>
      <c r="R132" t="s">
        <v>665</v>
      </c>
      <c r="S132" t="s">
        <v>666</v>
      </c>
      <c r="T132" t="s">
        <v>682</v>
      </c>
      <c r="U132" t="s">
        <v>665</v>
      </c>
      <c r="V132" t="s">
        <v>666</v>
      </c>
      <c r="W132" t="s">
        <v>683</v>
      </c>
      <c r="X132" t="s">
        <v>665</v>
      </c>
      <c r="Y132" t="s">
        <v>666</v>
      </c>
    </row>
    <row r="133" spans="1:31">
      <c r="A133" t="s">
        <v>489</v>
      </c>
      <c r="B133" s="25">
        <f>105/139</f>
        <v>0.75539568345323738</v>
      </c>
      <c r="C133" s="25">
        <f>61/139</f>
        <v>0.43884892086330934</v>
      </c>
      <c r="D133" s="38" t="s">
        <v>1293</v>
      </c>
      <c r="E133" s="25">
        <f>97/139</f>
        <v>0.69784172661870503</v>
      </c>
      <c r="F133" s="25">
        <f>61/139</f>
        <v>0.43884892086330934</v>
      </c>
      <c r="G133" s="38" t="s">
        <v>1293</v>
      </c>
      <c r="H133" s="38">
        <f>91/139</f>
        <v>0.65467625899280579</v>
      </c>
      <c r="I133" s="25">
        <f>54/139</f>
        <v>0.38848920863309355</v>
      </c>
      <c r="J133" s="38" t="s">
        <v>1293</v>
      </c>
      <c r="K133" s="25">
        <f>89/139</f>
        <v>0.64028776978417268</v>
      </c>
      <c r="L133" s="25">
        <f>47/139</f>
        <v>0.33812949640287771</v>
      </c>
      <c r="M133" s="38" t="s">
        <v>1293</v>
      </c>
      <c r="N133" s="25">
        <f>108/139</f>
        <v>0.7769784172661871</v>
      </c>
      <c r="O133" s="25">
        <f>90/139</f>
        <v>0.64748201438848918</v>
      </c>
      <c r="P133" s="38" t="s">
        <v>1293</v>
      </c>
      <c r="Q133" s="25">
        <f>78/139</f>
        <v>0.5611510791366906</v>
      </c>
      <c r="R133" s="25">
        <f>40/139</f>
        <v>0.28776978417266186</v>
      </c>
      <c r="S133" s="38" t="s">
        <v>1293</v>
      </c>
      <c r="T133" s="25">
        <f>34/139</f>
        <v>0.2446043165467626</v>
      </c>
      <c r="U133" s="25">
        <f>13/139</f>
        <v>9.3525179856115109E-2</v>
      </c>
      <c r="V133" s="38" t="s">
        <v>1293</v>
      </c>
      <c r="W133" s="25">
        <f>55/139</f>
        <v>0.39568345323741005</v>
      </c>
      <c r="X133" s="25">
        <f>30/139</f>
        <v>0.21582733812949639</v>
      </c>
      <c r="Y133" s="38" t="s">
        <v>1293</v>
      </c>
      <c r="Z133" s="25"/>
      <c r="AA133" s="25"/>
      <c r="AB133" s="38"/>
      <c r="AC133" s="25"/>
      <c r="AD133" s="25"/>
      <c r="AE133" s="38"/>
    </row>
    <row r="136" spans="1:31">
      <c r="A136" t="s">
        <v>1216</v>
      </c>
    </row>
    <row r="137" spans="1:31">
      <c r="B137" t="s">
        <v>1394</v>
      </c>
      <c r="C137" t="s">
        <v>1395</v>
      </c>
    </row>
    <row r="138" spans="1:31">
      <c r="A138" t="s">
        <v>1311</v>
      </c>
      <c r="B138" s="15">
        <v>9</v>
      </c>
      <c r="C138" s="15">
        <v>24</v>
      </c>
    </row>
    <row r="139" spans="1:31">
      <c r="A139" t="s">
        <v>1312</v>
      </c>
      <c r="B139" s="15">
        <v>22</v>
      </c>
      <c r="C139" s="15">
        <v>40</v>
      </c>
    </row>
    <row r="140" spans="1:31">
      <c r="A140" t="s">
        <v>1310</v>
      </c>
      <c r="B140" s="15">
        <v>29</v>
      </c>
      <c r="C140" s="15">
        <v>56</v>
      </c>
    </row>
    <row r="141" spans="1:31">
      <c r="A141" t="s">
        <v>1308</v>
      </c>
      <c r="B141" s="15">
        <v>34</v>
      </c>
      <c r="C141" s="15">
        <v>64</v>
      </c>
    </row>
    <row r="142" spans="1:31">
      <c r="A142" t="s">
        <v>1315</v>
      </c>
      <c r="B142" s="15">
        <v>39</v>
      </c>
      <c r="C142" s="15">
        <v>65</v>
      </c>
    </row>
    <row r="143" spans="1:31">
      <c r="A143" t="s">
        <v>1307</v>
      </c>
      <c r="B143" s="15">
        <v>44</v>
      </c>
      <c r="C143" s="15">
        <v>70</v>
      </c>
    </row>
    <row r="144" spans="1:31">
      <c r="A144" t="s">
        <v>1306</v>
      </c>
      <c r="B144" s="15">
        <v>44</v>
      </c>
      <c r="C144" s="65">
        <v>76</v>
      </c>
    </row>
    <row r="145" spans="1:3">
      <c r="A145" t="s">
        <v>1309</v>
      </c>
      <c r="B145" s="15">
        <v>65</v>
      </c>
      <c r="C145" s="15">
        <v>78</v>
      </c>
    </row>
    <row r="146" spans="1:3">
      <c r="B146" s="15"/>
      <c r="C146" s="15"/>
    </row>
    <row r="147" spans="1:3">
      <c r="B147" s="15"/>
      <c r="C147" s="15"/>
    </row>
  </sheetData>
  <sortState ref="A6:Y130">
    <sortCondition ref="X6:X130"/>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S113"/>
  <sheetViews>
    <sheetView workbookViewId="0"/>
  </sheetViews>
  <sheetFormatPr defaultRowHeight="14.4"/>
  <cols>
    <col min="1" max="1" width="17.88671875" customWidth="1"/>
    <col min="2" max="2" width="20" customWidth="1"/>
    <col min="3" max="3" width="13.5546875" customWidth="1"/>
    <col min="4" max="4" width="4.44140625" customWidth="1"/>
    <col min="5" max="5" width="13.5546875" customWidth="1"/>
    <col min="6" max="6" width="17.88671875" customWidth="1"/>
    <col min="7" max="7" width="16.109375" customWidth="1"/>
  </cols>
  <sheetData>
    <row r="1" spans="1:7">
      <c r="A1" s="3" t="s">
        <v>1304</v>
      </c>
    </row>
    <row r="2" spans="1:7">
      <c r="A2" t="s">
        <v>1316</v>
      </c>
    </row>
    <row r="4" spans="1:7">
      <c r="A4" t="s">
        <v>1216</v>
      </c>
    </row>
    <row r="5" spans="1:7">
      <c r="B5" t="s">
        <v>684</v>
      </c>
      <c r="C5" t="s">
        <v>665</v>
      </c>
      <c r="D5" t="s">
        <v>666</v>
      </c>
      <c r="E5" t="s">
        <v>685</v>
      </c>
      <c r="F5" t="s">
        <v>665</v>
      </c>
      <c r="G5" t="s">
        <v>666</v>
      </c>
    </row>
    <row r="6" spans="1:7">
      <c r="A6" t="s">
        <v>973</v>
      </c>
      <c r="B6" t="s">
        <v>489</v>
      </c>
      <c r="C6" t="s">
        <v>489</v>
      </c>
      <c r="D6" t="s">
        <v>490</v>
      </c>
      <c r="E6" t="s">
        <v>489</v>
      </c>
      <c r="F6" t="s">
        <v>489</v>
      </c>
      <c r="G6" t="s">
        <v>490</v>
      </c>
    </row>
    <row r="7" spans="1:7">
      <c r="A7" t="s">
        <v>954</v>
      </c>
      <c r="B7" t="s">
        <v>489</v>
      </c>
      <c r="C7" t="s">
        <v>489</v>
      </c>
      <c r="D7" t="s">
        <v>490</v>
      </c>
      <c r="E7" t="s">
        <v>489</v>
      </c>
      <c r="F7" t="s">
        <v>489</v>
      </c>
      <c r="G7" t="s">
        <v>490</v>
      </c>
    </row>
    <row r="8" spans="1:7">
      <c r="A8" t="s">
        <v>972</v>
      </c>
      <c r="B8" t="s">
        <v>489</v>
      </c>
      <c r="C8" t="s">
        <v>489</v>
      </c>
      <c r="D8" t="s">
        <v>490</v>
      </c>
      <c r="E8" t="s">
        <v>489</v>
      </c>
      <c r="F8" t="s">
        <v>489</v>
      </c>
      <c r="G8" t="s">
        <v>490</v>
      </c>
    </row>
    <row r="9" spans="1:7">
      <c r="A9" t="s">
        <v>972</v>
      </c>
      <c r="B9" t="s">
        <v>489</v>
      </c>
      <c r="C9" t="s">
        <v>489</v>
      </c>
      <c r="D9" t="s">
        <v>490</v>
      </c>
      <c r="E9" t="s">
        <v>489</v>
      </c>
      <c r="F9" t="s">
        <v>489</v>
      </c>
      <c r="G9" t="s">
        <v>490</v>
      </c>
    </row>
    <row r="10" spans="1:7">
      <c r="A10" t="s">
        <v>972</v>
      </c>
      <c r="B10" t="s">
        <v>489</v>
      </c>
      <c r="C10" t="s">
        <v>489</v>
      </c>
      <c r="D10" t="s">
        <v>490</v>
      </c>
      <c r="E10" t="s">
        <v>489</v>
      </c>
      <c r="F10" t="s">
        <v>489</v>
      </c>
      <c r="G10" t="s">
        <v>490</v>
      </c>
    </row>
    <row r="11" spans="1:7">
      <c r="A11" t="s">
        <v>972</v>
      </c>
      <c r="B11" t="s">
        <v>489</v>
      </c>
      <c r="C11" t="s">
        <v>489</v>
      </c>
      <c r="D11" t="s">
        <v>490</v>
      </c>
      <c r="E11" t="s">
        <v>489</v>
      </c>
      <c r="F11" t="s">
        <v>489</v>
      </c>
      <c r="G11" t="s">
        <v>490</v>
      </c>
    </row>
    <row r="12" spans="1:7">
      <c r="A12" t="s">
        <v>972</v>
      </c>
      <c r="B12" t="s">
        <v>489</v>
      </c>
      <c r="C12" t="s">
        <v>489</v>
      </c>
      <c r="D12" t="s">
        <v>490</v>
      </c>
      <c r="E12" t="s">
        <v>489</v>
      </c>
      <c r="F12" t="s">
        <v>489</v>
      </c>
      <c r="G12" t="s">
        <v>490</v>
      </c>
    </row>
    <row r="13" spans="1:7">
      <c r="A13" t="s">
        <v>974</v>
      </c>
      <c r="B13" t="s">
        <v>489</v>
      </c>
      <c r="C13" t="s">
        <v>489</v>
      </c>
      <c r="D13" t="s">
        <v>490</v>
      </c>
      <c r="E13" t="s">
        <v>489</v>
      </c>
      <c r="F13" t="s">
        <v>489</v>
      </c>
      <c r="G13" t="s">
        <v>490</v>
      </c>
    </row>
    <row r="14" spans="1:7">
      <c r="A14" t="s">
        <v>974</v>
      </c>
      <c r="B14" t="s">
        <v>489</v>
      </c>
      <c r="C14" t="s">
        <v>489</v>
      </c>
      <c r="D14" t="s">
        <v>490</v>
      </c>
      <c r="E14" t="s">
        <v>489</v>
      </c>
      <c r="F14" t="s">
        <v>489</v>
      </c>
      <c r="G14" t="s">
        <v>490</v>
      </c>
    </row>
    <row r="15" spans="1:7">
      <c r="A15" t="s">
        <v>974</v>
      </c>
      <c r="B15" t="s">
        <v>489</v>
      </c>
      <c r="C15" t="s">
        <v>489</v>
      </c>
      <c r="D15" t="s">
        <v>490</v>
      </c>
      <c r="E15" t="s">
        <v>489</v>
      </c>
      <c r="F15" t="s">
        <v>489</v>
      </c>
      <c r="G15" t="s">
        <v>490</v>
      </c>
    </row>
    <row r="16" spans="1:7">
      <c r="A16" t="s">
        <v>974</v>
      </c>
      <c r="B16" t="s">
        <v>489</v>
      </c>
      <c r="C16" t="s">
        <v>489</v>
      </c>
      <c r="D16" t="s">
        <v>490</v>
      </c>
      <c r="E16" t="s">
        <v>489</v>
      </c>
      <c r="F16" t="s">
        <v>489</v>
      </c>
      <c r="G16" t="s">
        <v>490</v>
      </c>
    </row>
    <row r="17" spans="1:7">
      <c r="A17" t="s">
        <v>974</v>
      </c>
      <c r="B17" t="s">
        <v>489</v>
      </c>
      <c r="C17" t="s">
        <v>489</v>
      </c>
      <c r="D17" t="s">
        <v>490</v>
      </c>
      <c r="E17" t="s">
        <v>489</v>
      </c>
      <c r="F17" t="s">
        <v>489</v>
      </c>
      <c r="G17" t="s">
        <v>490</v>
      </c>
    </row>
    <row r="18" spans="1:7">
      <c r="A18" t="s">
        <v>974</v>
      </c>
      <c r="B18" t="s">
        <v>489</v>
      </c>
      <c r="C18" t="s">
        <v>489</v>
      </c>
      <c r="D18" t="s">
        <v>490</v>
      </c>
      <c r="E18" t="s">
        <v>489</v>
      </c>
      <c r="F18" t="s">
        <v>489</v>
      </c>
      <c r="G18" t="s">
        <v>490</v>
      </c>
    </row>
    <row r="19" spans="1:7">
      <c r="A19" t="s">
        <v>974</v>
      </c>
      <c r="B19" t="s">
        <v>489</v>
      </c>
      <c r="C19" t="s">
        <v>489</v>
      </c>
      <c r="D19" t="s">
        <v>490</v>
      </c>
      <c r="E19" t="s">
        <v>489</v>
      </c>
      <c r="F19" t="s">
        <v>489</v>
      </c>
      <c r="G19" t="s">
        <v>490</v>
      </c>
    </row>
    <row r="20" spans="1:7">
      <c r="A20" t="s">
        <v>974</v>
      </c>
      <c r="B20" t="s">
        <v>489</v>
      </c>
      <c r="C20" t="s">
        <v>489</v>
      </c>
      <c r="D20" t="s">
        <v>490</v>
      </c>
      <c r="E20" t="s">
        <v>489</v>
      </c>
      <c r="F20" t="s">
        <v>489</v>
      </c>
      <c r="G20" t="s">
        <v>490</v>
      </c>
    </row>
    <row r="21" spans="1:7">
      <c r="A21" t="s">
        <v>974</v>
      </c>
      <c r="B21" t="s">
        <v>489</v>
      </c>
      <c r="C21" t="s">
        <v>489</v>
      </c>
      <c r="D21" t="s">
        <v>490</v>
      </c>
      <c r="E21" t="s">
        <v>489</v>
      </c>
      <c r="F21" t="s">
        <v>489</v>
      </c>
      <c r="G21" t="s">
        <v>490</v>
      </c>
    </row>
    <row r="22" spans="1:7">
      <c r="A22" t="s">
        <v>974</v>
      </c>
      <c r="B22" t="s">
        <v>489</v>
      </c>
      <c r="C22" t="s">
        <v>489</v>
      </c>
      <c r="D22" t="s">
        <v>490</v>
      </c>
      <c r="E22" t="s">
        <v>489</v>
      </c>
      <c r="F22" t="s">
        <v>489</v>
      </c>
      <c r="G22" t="s">
        <v>490</v>
      </c>
    </row>
    <row r="23" spans="1:7">
      <c r="A23" t="s">
        <v>974</v>
      </c>
      <c r="B23" t="s">
        <v>489</v>
      </c>
      <c r="C23" t="s">
        <v>489</v>
      </c>
      <c r="D23" t="s">
        <v>490</v>
      </c>
      <c r="E23" t="s">
        <v>489</v>
      </c>
      <c r="F23" t="s">
        <v>489</v>
      </c>
      <c r="G23" t="s">
        <v>490</v>
      </c>
    </row>
    <row r="24" spans="1:7">
      <c r="A24" t="s">
        <v>974</v>
      </c>
      <c r="B24" t="s">
        <v>489</v>
      </c>
      <c r="C24" t="s">
        <v>489</v>
      </c>
      <c r="D24" t="s">
        <v>490</v>
      </c>
      <c r="E24" t="s">
        <v>489</v>
      </c>
      <c r="F24" t="s">
        <v>489</v>
      </c>
      <c r="G24" t="s">
        <v>490</v>
      </c>
    </row>
    <row r="25" spans="1:7">
      <c r="A25" t="s">
        <v>974</v>
      </c>
      <c r="B25" t="s">
        <v>489</v>
      </c>
      <c r="C25" t="s">
        <v>489</v>
      </c>
      <c r="D25" t="s">
        <v>490</v>
      </c>
      <c r="E25" t="s">
        <v>489</v>
      </c>
      <c r="F25" t="s">
        <v>489</v>
      </c>
      <c r="G25" t="s">
        <v>490</v>
      </c>
    </row>
    <row r="26" spans="1:7">
      <c r="A26" t="s">
        <v>974</v>
      </c>
      <c r="B26" t="s">
        <v>489</v>
      </c>
      <c r="C26" t="s">
        <v>489</v>
      </c>
      <c r="D26" t="s">
        <v>490</v>
      </c>
      <c r="E26" t="s">
        <v>489</v>
      </c>
      <c r="F26" t="s">
        <v>489</v>
      </c>
      <c r="G26" t="s">
        <v>490</v>
      </c>
    </row>
    <row r="27" spans="1:7">
      <c r="A27" t="s">
        <v>974</v>
      </c>
      <c r="B27" t="s">
        <v>489</v>
      </c>
      <c r="C27" t="s">
        <v>489</v>
      </c>
      <c r="D27" t="s">
        <v>490</v>
      </c>
      <c r="E27" t="s">
        <v>489</v>
      </c>
      <c r="F27" t="s">
        <v>489</v>
      </c>
      <c r="G27" t="s">
        <v>490</v>
      </c>
    </row>
    <row r="28" spans="1:7">
      <c r="A28" t="s">
        <v>974</v>
      </c>
      <c r="B28" t="s">
        <v>489</v>
      </c>
      <c r="C28" t="s">
        <v>489</v>
      </c>
      <c r="D28" t="s">
        <v>490</v>
      </c>
      <c r="E28" t="s">
        <v>489</v>
      </c>
      <c r="F28" t="s">
        <v>489</v>
      </c>
      <c r="G28" t="s">
        <v>490</v>
      </c>
    </row>
    <row r="29" spans="1:7">
      <c r="A29" t="s">
        <v>974</v>
      </c>
      <c r="B29" t="s">
        <v>489</v>
      </c>
      <c r="C29" t="s">
        <v>489</v>
      </c>
      <c r="D29" t="s">
        <v>490</v>
      </c>
      <c r="E29" t="s">
        <v>489</v>
      </c>
      <c r="F29" t="s">
        <v>489</v>
      </c>
      <c r="G29" t="s">
        <v>490</v>
      </c>
    </row>
    <row r="30" spans="1:7">
      <c r="A30" t="s">
        <v>974</v>
      </c>
      <c r="B30" t="s">
        <v>489</v>
      </c>
      <c r="C30" t="s">
        <v>489</v>
      </c>
      <c r="D30" t="s">
        <v>490</v>
      </c>
      <c r="E30" t="s">
        <v>489</v>
      </c>
      <c r="F30" t="s">
        <v>489</v>
      </c>
      <c r="G30" t="s">
        <v>490</v>
      </c>
    </row>
    <row r="31" spans="1:7">
      <c r="A31" t="s">
        <v>972</v>
      </c>
      <c r="B31" t="s">
        <v>489</v>
      </c>
      <c r="C31" t="s">
        <v>489</v>
      </c>
      <c r="D31" t="s">
        <v>490</v>
      </c>
      <c r="E31" t="s">
        <v>489</v>
      </c>
      <c r="F31" t="s">
        <v>489</v>
      </c>
      <c r="G31" t="s">
        <v>490</v>
      </c>
    </row>
    <row r="32" spans="1:7">
      <c r="A32" t="s">
        <v>972</v>
      </c>
      <c r="B32" t="s">
        <v>489</v>
      </c>
      <c r="C32" t="s">
        <v>489</v>
      </c>
      <c r="D32" t="s">
        <v>490</v>
      </c>
      <c r="E32" t="s">
        <v>489</v>
      </c>
      <c r="F32" t="s">
        <v>489</v>
      </c>
      <c r="G32" t="s">
        <v>490</v>
      </c>
    </row>
    <row r="33" spans="1:7">
      <c r="A33" t="s">
        <v>972</v>
      </c>
      <c r="B33" t="s">
        <v>489</v>
      </c>
      <c r="C33" t="s">
        <v>489</v>
      </c>
      <c r="D33" t="s">
        <v>490</v>
      </c>
      <c r="E33" t="s">
        <v>489</v>
      </c>
      <c r="F33" t="s">
        <v>489</v>
      </c>
      <c r="G33" t="s">
        <v>490</v>
      </c>
    </row>
    <row r="34" spans="1:7">
      <c r="A34" t="s">
        <v>974</v>
      </c>
      <c r="B34" t="s">
        <v>489</v>
      </c>
      <c r="C34" t="s">
        <v>489</v>
      </c>
      <c r="D34" t="s">
        <v>490</v>
      </c>
      <c r="E34" t="s">
        <v>489</v>
      </c>
      <c r="F34" t="s">
        <v>489</v>
      </c>
      <c r="G34" t="s">
        <v>490</v>
      </c>
    </row>
    <row r="35" spans="1:7">
      <c r="A35" t="s">
        <v>972</v>
      </c>
      <c r="B35" t="s">
        <v>489</v>
      </c>
      <c r="C35" t="s">
        <v>489</v>
      </c>
      <c r="D35" t="s">
        <v>490</v>
      </c>
      <c r="E35" t="s">
        <v>489</v>
      </c>
      <c r="F35" t="s">
        <v>489</v>
      </c>
      <c r="G35" t="s">
        <v>490</v>
      </c>
    </row>
    <row r="36" spans="1:7">
      <c r="A36" t="s">
        <v>954</v>
      </c>
      <c r="B36" t="s">
        <v>489</v>
      </c>
      <c r="C36" t="s">
        <v>490</v>
      </c>
      <c r="D36" t="s">
        <v>490</v>
      </c>
      <c r="E36" t="s">
        <v>489</v>
      </c>
      <c r="F36" t="s">
        <v>489</v>
      </c>
      <c r="G36" t="s">
        <v>490</v>
      </c>
    </row>
    <row r="37" spans="1:7">
      <c r="A37" t="s">
        <v>972</v>
      </c>
      <c r="B37" t="s">
        <v>489</v>
      </c>
      <c r="C37" t="s">
        <v>490</v>
      </c>
      <c r="D37" t="s">
        <v>490</v>
      </c>
      <c r="E37" t="s">
        <v>489</v>
      </c>
      <c r="F37" t="s">
        <v>489</v>
      </c>
      <c r="G37" t="s">
        <v>490</v>
      </c>
    </row>
    <row r="38" spans="1:7">
      <c r="A38" t="s">
        <v>974</v>
      </c>
      <c r="B38" t="s">
        <v>489</v>
      </c>
      <c r="C38" t="s">
        <v>490</v>
      </c>
      <c r="D38" t="s">
        <v>490</v>
      </c>
      <c r="E38" t="s">
        <v>489</v>
      </c>
      <c r="F38" t="s">
        <v>489</v>
      </c>
      <c r="G38" t="s">
        <v>490</v>
      </c>
    </row>
    <row r="39" spans="1:7">
      <c r="A39" t="s">
        <v>974</v>
      </c>
      <c r="B39" t="s">
        <v>489</v>
      </c>
      <c r="C39" t="s">
        <v>490</v>
      </c>
      <c r="D39" t="s">
        <v>490</v>
      </c>
      <c r="E39" t="s">
        <v>489</v>
      </c>
      <c r="F39" t="s">
        <v>489</v>
      </c>
      <c r="G39" t="s">
        <v>490</v>
      </c>
    </row>
    <row r="40" spans="1:7">
      <c r="A40" t="s">
        <v>973</v>
      </c>
      <c r="B40" t="s">
        <v>490</v>
      </c>
      <c r="C40" t="s">
        <v>490</v>
      </c>
      <c r="D40" t="s">
        <v>489</v>
      </c>
      <c r="E40" t="s">
        <v>489</v>
      </c>
      <c r="F40" t="s">
        <v>489</v>
      </c>
      <c r="G40" t="s">
        <v>490</v>
      </c>
    </row>
    <row r="41" spans="1:7">
      <c r="A41" t="s">
        <v>954</v>
      </c>
      <c r="B41" t="s">
        <v>490</v>
      </c>
      <c r="C41" t="s">
        <v>490</v>
      </c>
      <c r="D41" t="s">
        <v>489</v>
      </c>
      <c r="E41" t="s">
        <v>489</v>
      </c>
      <c r="F41" t="s">
        <v>489</v>
      </c>
      <c r="G41" t="s">
        <v>490</v>
      </c>
    </row>
    <row r="42" spans="1:7">
      <c r="A42" t="s">
        <v>972</v>
      </c>
      <c r="B42" t="s">
        <v>490</v>
      </c>
      <c r="C42" t="s">
        <v>490</v>
      </c>
      <c r="D42" t="s">
        <v>489</v>
      </c>
      <c r="E42" t="s">
        <v>489</v>
      </c>
      <c r="F42" t="s">
        <v>489</v>
      </c>
      <c r="G42" t="s">
        <v>490</v>
      </c>
    </row>
    <row r="43" spans="1:7">
      <c r="A43" t="s">
        <v>972</v>
      </c>
      <c r="B43" t="s">
        <v>490</v>
      </c>
      <c r="C43" t="s">
        <v>490</v>
      </c>
      <c r="D43" t="s">
        <v>489</v>
      </c>
      <c r="E43" t="s">
        <v>489</v>
      </c>
      <c r="F43" t="s">
        <v>489</v>
      </c>
      <c r="G43" t="s">
        <v>490</v>
      </c>
    </row>
    <row r="44" spans="1:7">
      <c r="A44" t="s">
        <v>972</v>
      </c>
      <c r="B44" t="s">
        <v>490</v>
      </c>
      <c r="C44" t="s">
        <v>490</v>
      </c>
      <c r="D44" t="s">
        <v>489</v>
      </c>
      <c r="E44" t="s">
        <v>489</v>
      </c>
      <c r="F44" t="s">
        <v>489</v>
      </c>
      <c r="G44" t="s">
        <v>490</v>
      </c>
    </row>
    <row r="45" spans="1:7">
      <c r="A45" t="s">
        <v>972</v>
      </c>
      <c r="B45" t="s">
        <v>490</v>
      </c>
      <c r="C45" t="s">
        <v>490</v>
      </c>
      <c r="D45" t="s">
        <v>489</v>
      </c>
      <c r="E45" t="s">
        <v>489</v>
      </c>
      <c r="F45" t="s">
        <v>489</v>
      </c>
      <c r="G45" t="s">
        <v>490</v>
      </c>
    </row>
    <row r="46" spans="1:7">
      <c r="A46" t="s">
        <v>972</v>
      </c>
      <c r="B46" t="s">
        <v>490</v>
      </c>
      <c r="C46" t="s">
        <v>490</v>
      </c>
      <c r="D46" t="s">
        <v>489</v>
      </c>
      <c r="E46" t="s">
        <v>489</v>
      </c>
      <c r="F46" t="s">
        <v>489</v>
      </c>
      <c r="G46" t="s">
        <v>490</v>
      </c>
    </row>
    <row r="47" spans="1:7">
      <c r="A47" t="s">
        <v>972</v>
      </c>
      <c r="B47" t="s">
        <v>490</v>
      </c>
      <c r="C47" t="s">
        <v>490</v>
      </c>
      <c r="D47" t="s">
        <v>489</v>
      </c>
      <c r="E47" t="s">
        <v>489</v>
      </c>
      <c r="F47" t="s">
        <v>489</v>
      </c>
      <c r="G47" t="s">
        <v>490</v>
      </c>
    </row>
    <row r="48" spans="1:7">
      <c r="A48" t="s">
        <v>972</v>
      </c>
      <c r="B48" t="s">
        <v>490</v>
      </c>
      <c r="C48" t="s">
        <v>490</v>
      </c>
      <c r="D48" t="s">
        <v>489</v>
      </c>
      <c r="E48" t="s">
        <v>489</v>
      </c>
      <c r="F48" t="s">
        <v>489</v>
      </c>
      <c r="G48" t="s">
        <v>490</v>
      </c>
    </row>
    <row r="49" spans="1:7">
      <c r="A49" t="s">
        <v>972</v>
      </c>
      <c r="B49" t="s">
        <v>490</v>
      </c>
      <c r="C49" t="s">
        <v>490</v>
      </c>
      <c r="D49" t="s">
        <v>489</v>
      </c>
      <c r="E49" t="s">
        <v>489</v>
      </c>
      <c r="F49" t="s">
        <v>489</v>
      </c>
      <c r="G49" t="s">
        <v>490</v>
      </c>
    </row>
    <row r="50" spans="1:7">
      <c r="A50" t="s">
        <v>974</v>
      </c>
      <c r="B50" t="s">
        <v>490</v>
      </c>
      <c r="C50" t="s">
        <v>490</v>
      </c>
      <c r="D50" t="s">
        <v>489</v>
      </c>
      <c r="E50" t="s">
        <v>489</v>
      </c>
      <c r="F50" t="s">
        <v>489</v>
      </c>
      <c r="G50" t="s">
        <v>490</v>
      </c>
    </row>
    <row r="51" spans="1:7">
      <c r="A51" t="s">
        <v>974</v>
      </c>
      <c r="B51" t="s">
        <v>490</v>
      </c>
      <c r="C51" t="s">
        <v>490</v>
      </c>
      <c r="D51" t="s">
        <v>489</v>
      </c>
      <c r="E51" t="s">
        <v>489</v>
      </c>
      <c r="F51" t="s">
        <v>489</v>
      </c>
      <c r="G51" t="s">
        <v>490</v>
      </c>
    </row>
    <row r="52" spans="1:7">
      <c r="A52" t="s">
        <v>974</v>
      </c>
      <c r="B52" t="s">
        <v>490</v>
      </c>
      <c r="C52" t="s">
        <v>490</v>
      </c>
      <c r="D52" t="s">
        <v>489</v>
      </c>
      <c r="E52" t="s">
        <v>489</v>
      </c>
      <c r="F52" t="s">
        <v>489</v>
      </c>
      <c r="G52" t="s">
        <v>490</v>
      </c>
    </row>
    <row r="53" spans="1:7">
      <c r="A53" t="s">
        <v>972</v>
      </c>
      <c r="B53" t="s">
        <v>490</v>
      </c>
      <c r="C53" t="s">
        <v>490</v>
      </c>
      <c r="D53" t="s">
        <v>489</v>
      </c>
      <c r="E53" t="s">
        <v>489</v>
      </c>
      <c r="F53" t="s">
        <v>489</v>
      </c>
      <c r="G53" t="s">
        <v>490</v>
      </c>
    </row>
    <row r="54" spans="1:7">
      <c r="A54" t="s">
        <v>974</v>
      </c>
      <c r="B54" t="s">
        <v>490</v>
      </c>
      <c r="C54" t="s">
        <v>490</v>
      </c>
      <c r="D54" t="s">
        <v>489</v>
      </c>
      <c r="E54" t="s">
        <v>489</v>
      </c>
      <c r="F54" t="s">
        <v>489</v>
      </c>
      <c r="G54" t="s">
        <v>490</v>
      </c>
    </row>
    <row r="55" spans="1:7">
      <c r="A55" t="s">
        <v>974</v>
      </c>
      <c r="B55" t="s">
        <v>490</v>
      </c>
      <c r="C55" t="s">
        <v>490</v>
      </c>
      <c r="D55" t="s">
        <v>489</v>
      </c>
      <c r="E55" t="s">
        <v>489</v>
      </c>
      <c r="F55" t="s">
        <v>489</v>
      </c>
      <c r="G55" t="s">
        <v>490</v>
      </c>
    </row>
    <row r="56" spans="1:7">
      <c r="A56" t="s">
        <v>973</v>
      </c>
      <c r="B56" t="s">
        <v>490</v>
      </c>
      <c r="C56" t="s">
        <v>490</v>
      </c>
      <c r="D56" t="s">
        <v>489</v>
      </c>
      <c r="E56" t="s">
        <v>489</v>
      </c>
      <c r="F56" t="s">
        <v>489</v>
      </c>
      <c r="G56" t="s">
        <v>490</v>
      </c>
    </row>
    <row r="57" spans="1:7">
      <c r="A57" t="s">
        <v>973</v>
      </c>
      <c r="B57" t="s">
        <v>490</v>
      </c>
      <c r="C57" t="s">
        <v>490</v>
      </c>
      <c r="D57" t="s">
        <v>489</v>
      </c>
      <c r="E57" t="s">
        <v>489</v>
      </c>
      <c r="F57" t="s">
        <v>489</v>
      </c>
      <c r="G57" t="s">
        <v>490</v>
      </c>
    </row>
    <row r="58" spans="1:7">
      <c r="A58" t="s">
        <v>973</v>
      </c>
      <c r="B58" t="s">
        <v>490</v>
      </c>
      <c r="C58" t="s">
        <v>490</v>
      </c>
      <c r="D58" t="s">
        <v>489</v>
      </c>
      <c r="E58" t="s">
        <v>489</v>
      </c>
      <c r="F58" t="s">
        <v>489</v>
      </c>
      <c r="G58" t="s">
        <v>490</v>
      </c>
    </row>
    <row r="59" spans="1:7">
      <c r="A59" t="s">
        <v>954</v>
      </c>
      <c r="B59" t="s">
        <v>490</v>
      </c>
      <c r="C59" t="s">
        <v>489</v>
      </c>
      <c r="D59" t="s">
        <v>490</v>
      </c>
      <c r="E59" t="s">
        <v>490</v>
      </c>
      <c r="F59" t="s">
        <v>489</v>
      </c>
      <c r="G59" t="s">
        <v>490</v>
      </c>
    </row>
    <row r="60" spans="1:7">
      <c r="A60" t="s">
        <v>972</v>
      </c>
      <c r="B60" t="s">
        <v>489</v>
      </c>
      <c r="C60" t="s">
        <v>489</v>
      </c>
      <c r="D60" t="s">
        <v>490</v>
      </c>
      <c r="E60" t="s">
        <v>489</v>
      </c>
      <c r="F60" t="s">
        <v>490</v>
      </c>
      <c r="G60" t="s">
        <v>490</v>
      </c>
    </row>
    <row r="61" spans="1:7">
      <c r="A61" t="s">
        <v>974</v>
      </c>
      <c r="B61" t="s">
        <v>489</v>
      </c>
      <c r="C61" t="s">
        <v>489</v>
      </c>
      <c r="D61" t="s">
        <v>490</v>
      </c>
      <c r="E61" t="s">
        <v>489</v>
      </c>
      <c r="F61" t="s">
        <v>490</v>
      </c>
      <c r="G61" t="s">
        <v>490</v>
      </c>
    </row>
    <row r="62" spans="1:7">
      <c r="A62" t="s">
        <v>974</v>
      </c>
      <c r="B62" t="s">
        <v>489</v>
      </c>
      <c r="C62" t="s">
        <v>489</v>
      </c>
      <c r="D62" t="s">
        <v>490</v>
      </c>
      <c r="E62" t="s">
        <v>489</v>
      </c>
      <c r="F62" t="s">
        <v>490</v>
      </c>
      <c r="G62" t="s">
        <v>490</v>
      </c>
    </row>
    <row r="63" spans="1:7">
      <c r="A63" t="s">
        <v>974</v>
      </c>
      <c r="B63" t="s">
        <v>489</v>
      </c>
      <c r="C63" t="s">
        <v>489</v>
      </c>
      <c r="D63" t="s">
        <v>490</v>
      </c>
      <c r="E63" t="s">
        <v>489</v>
      </c>
      <c r="F63" t="s">
        <v>490</v>
      </c>
      <c r="G63" t="s">
        <v>490</v>
      </c>
    </row>
    <row r="64" spans="1:7">
      <c r="A64" t="s">
        <v>972</v>
      </c>
      <c r="B64" t="s">
        <v>489</v>
      </c>
      <c r="C64" t="s">
        <v>490</v>
      </c>
      <c r="D64" t="s">
        <v>490</v>
      </c>
      <c r="E64" t="s">
        <v>489</v>
      </c>
      <c r="F64" t="s">
        <v>490</v>
      </c>
      <c r="G64" t="s">
        <v>490</v>
      </c>
    </row>
    <row r="65" spans="1:7">
      <c r="A65" t="s">
        <v>972</v>
      </c>
      <c r="B65" t="s">
        <v>489</v>
      </c>
      <c r="C65" t="s">
        <v>490</v>
      </c>
      <c r="D65" t="s">
        <v>490</v>
      </c>
      <c r="E65" t="s">
        <v>489</v>
      </c>
      <c r="F65" t="s">
        <v>490</v>
      </c>
      <c r="G65" t="s">
        <v>490</v>
      </c>
    </row>
    <row r="66" spans="1:7">
      <c r="A66" t="s">
        <v>972</v>
      </c>
      <c r="B66" t="s">
        <v>489</v>
      </c>
      <c r="C66" t="s">
        <v>490</v>
      </c>
      <c r="D66" t="s">
        <v>490</v>
      </c>
      <c r="E66" t="s">
        <v>489</v>
      </c>
      <c r="F66" t="s">
        <v>490</v>
      </c>
      <c r="G66" t="s">
        <v>490</v>
      </c>
    </row>
    <row r="67" spans="1:7">
      <c r="A67" t="s">
        <v>972</v>
      </c>
      <c r="B67" t="s">
        <v>489</v>
      </c>
      <c r="C67" t="s">
        <v>490</v>
      </c>
      <c r="D67" t="s">
        <v>490</v>
      </c>
      <c r="E67" t="s">
        <v>489</v>
      </c>
      <c r="F67" t="s">
        <v>490</v>
      </c>
      <c r="G67" t="s">
        <v>490</v>
      </c>
    </row>
    <row r="68" spans="1:7">
      <c r="A68" t="s">
        <v>974</v>
      </c>
      <c r="B68" t="s">
        <v>489</v>
      </c>
      <c r="C68" t="s">
        <v>490</v>
      </c>
      <c r="D68" t="s">
        <v>490</v>
      </c>
      <c r="E68" t="s">
        <v>489</v>
      </c>
      <c r="F68" t="s">
        <v>490</v>
      </c>
      <c r="G68" t="s">
        <v>490</v>
      </c>
    </row>
    <row r="69" spans="1:7">
      <c r="A69" t="s">
        <v>974</v>
      </c>
      <c r="B69" t="s">
        <v>489</v>
      </c>
      <c r="C69" t="s">
        <v>490</v>
      </c>
      <c r="D69" t="s">
        <v>490</v>
      </c>
      <c r="E69" t="s">
        <v>489</v>
      </c>
      <c r="F69" t="s">
        <v>490</v>
      </c>
      <c r="G69" t="s">
        <v>490</v>
      </c>
    </row>
    <row r="70" spans="1:7">
      <c r="A70" t="s">
        <v>974</v>
      </c>
      <c r="B70" t="s">
        <v>489</v>
      </c>
      <c r="C70" t="s">
        <v>490</v>
      </c>
      <c r="D70" t="s">
        <v>490</v>
      </c>
      <c r="E70" t="s">
        <v>489</v>
      </c>
      <c r="F70" t="s">
        <v>490</v>
      </c>
      <c r="G70" t="s">
        <v>490</v>
      </c>
    </row>
    <row r="71" spans="1:7">
      <c r="A71" t="s">
        <v>974</v>
      </c>
      <c r="B71" t="s">
        <v>489</v>
      </c>
      <c r="C71" t="s">
        <v>490</v>
      </c>
      <c r="D71" t="s">
        <v>490</v>
      </c>
      <c r="E71" t="s">
        <v>489</v>
      </c>
      <c r="F71" t="s">
        <v>490</v>
      </c>
      <c r="G71" t="s">
        <v>490</v>
      </c>
    </row>
    <row r="72" spans="1:7">
      <c r="A72" t="s">
        <v>972</v>
      </c>
      <c r="B72" t="s">
        <v>489</v>
      </c>
      <c r="C72" t="s">
        <v>490</v>
      </c>
      <c r="D72" t="s">
        <v>490</v>
      </c>
      <c r="E72" t="s">
        <v>489</v>
      </c>
      <c r="F72" t="s">
        <v>490</v>
      </c>
      <c r="G72" t="s">
        <v>490</v>
      </c>
    </row>
    <row r="73" spans="1:7">
      <c r="A73" t="s">
        <v>972</v>
      </c>
      <c r="B73" t="s">
        <v>489</v>
      </c>
      <c r="C73" t="s">
        <v>490</v>
      </c>
      <c r="D73" t="s">
        <v>490</v>
      </c>
      <c r="E73" t="s">
        <v>489</v>
      </c>
      <c r="F73" t="s">
        <v>490</v>
      </c>
      <c r="G73" t="s">
        <v>490</v>
      </c>
    </row>
    <row r="74" spans="1:7">
      <c r="A74" t="s">
        <v>972</v>
      </c>
      <c r="B74" t="s">
        <v>489</v>
      </c>
      <c r="C74" t="s">
        <v>490</v>
      </c>
      <c r="D74" t="s">
        <v>490</v>
      </c>
      <c r="E74" t="s">
        <v>489</v>
      </c>
      <c r="F74" t="s">
        <v>490</v>
      </c>
      <c r="G74" t="s">
        <v>490</v>
      </c>
    </row>
    <row r="75" spans="1:7">
      <c r="A75" t="s">
        <v>954</v>
      </c>
      <c r="B75" t="s">
        <v>490</v>
      </c>
      <c r="C75" t="s">
        <v>490</v>
      </c>
      <c r="D75" t="s">
        <v>489</v>
      </c>
      <c r="E75" t="s">
        <v>489</v>
      </c>
      <c r="F75" t="s">
        <v>490</v>
      </c>
      <c r="G75" t="s">
        <v>490</v>
      </c>
    </row>
    <row r="76" spans="1:7">
      <c r="A76" t="s">
        <v>973</v>
      </c>
      <c r="B76" t="s">
        <v>490</v>
      </c>
      <c r="C76" t="s">
        <v>490</v>
      </c>
      <c r="D76" t="s">
        <v>489</v>
      </c>
      <c r="E76" t="s">
        <v>489</v>
      </c>
      <c r="F76" t="s">
        <v>490</v>
      </c>
      <c r="G76" t="s">
        <v>490</v>
      </c>
    </row>
    <row r="77" spans="1:7">
      <c r="A77" t="s">
        <v>972</v>
      </c>
      <c r="B77" t="s">
        <v>490</v>
      </c>
      <c r="C77" t="s">
        <v>490</v>
      </c>
      <c r="D77" t="s">
        <v>489</v>
      </c>
      <c r="E77" t="s">
        <v>489</v>
      </c>
      <c r="F77" t="s">
        <v>490</v>
      </c>
      <c r="G77" t="s">
        <v>490</v>
      </c>
    </row>
    <row r="78" spans="1:7">
      <c r="A78" t="s">
        <v>972</v>
      </c>
      <c r="B78" t="s">
        <v>490</v>
      </c>
      <c r="C78" t="s">
        <v>490</v>
      </c>
      <c r="D78" t="s">
        <v>489</v>
      </c>
      <c r="E78" t="s">
        <v>489</v>
      </c>
      <c r="F78" t="s">
        <v>490</v>
      </c>
      <c r="G78" t="s">
        <v>490</v>
      </c>
    </row>
    <row r="79" spans="1:7">
      <c r="A79" t="s">
        <v>972</v>
      </c>
      <c r="B79" t="s">
        <v>490</v>
      </c>
      <c r="C79" t="s">
        <v>490</v>
      </c>
      <c r="D79" t="s">
        <v>489</v>
      </c>
      <c r="E79" t="s">
        <v>489</v>
      </c>
      <c r="F79" t="s">
        <v>490</v>
      </c>
      <c r="G79" t="s">
        <v>490</v>
      </c>
    </row>
    <row r="80" spans="1:7">
      <c r="A80" t="s">
        <v>972</v>
      </c>
      <c r="B80" t="s">
        <v>490</v>
      </c>
      <c r="C80" t="s">
        <v>490</v>
      </c>
      <c r="D80" t="s">
        <v>489</v>
      </c>
      <c r="E80" t="s">
        <v>489</v>
      </c>
      <c r="F80" t="s">
        <v>490</v>
      </c>
      <c r="G80" t="s">
        <v>490</v>
      </c>
    </row>
    <row r="81" spans="1:7">
      <c r="A81" t="s">
        <v>972</v>
      </c>
      <c r="B81" t="s">
        <v>490</v>
      </c>
      <c r="C81" t="s">
        <v>490</v>
      </c>
      <c r="D81" t="s">
        <v>489</v>
      </c>
      <c r="E81" t="s">
        <v>489</v>
      </c>
      <c r="F81" t="s">
        <v>490</v>
      </c>
      <c r="G81" t="s">
        <v>490</v>
      </c>
    </row>
    <row r="82" spans="1:7">
      <c r="A82" t="s">
        <v>972</v>
      </c>
      <c r="B82" t="s">
        <v>490</v>
      </c>
      <c r="C82" t="s">
        <v>490</v>
      </c>
      <c r="D82" t="s">
        <v>489</v>
      </c>
      <c r="E82" t="s">
        <v>489</v>
      </c>
      <c r="F82" t="s">
        <v>490</v>
      </c>
      <c r="G82" t="s">
        <v>490</v>
      </c>
    </row>
    <row r="83" spans="1:7">
      <c r="A83" t="s">
        <v>972</v>
      </c>
      <c r="B83" t="s">
        <v>490</v>
      </c>
      <c r="C83" t="s">
        <v>490</v>
      </c>
      <c r="D83" t="s">
        <v>489</v>
      </c>
      <c r="E83" t="s">
        <v>489</v>
      </c>
      <c r="F83" t="s">
        <v>490</v>
      </c>
      <c r="G83" t="s">
        <v>490</v>
      </c>
    </row>
    <row r="84" spans="1:7">
      <c r="A84" t="s">
        <v>972</v>
      </c>
      <c r="B84" t="s">
        <v>490</v>
      </c>
      <c r="C84" t="s">
        <v>490</v>
      </c>
      <c r="D84" t="s">
        <v>489</v>
      </c>
      <c r="E84" t="s">
        <v>489</v>
      </c>
      <c r="F84" t="s">
        <v>490</v>
      </c>
      <c r="G84" t="s">
        <v>490</v>
      </c>
    </row>
    <row r="85" spans="1:7">
      <c r="A85" t="s">
        <v>972</v>
      </c>
      <c r="B85" t="s">
        <v>490</v>
      </c>
      <c r="C85" t="s">
        <v>490</v>
      </c>
      <c r="D85" t="s">
        <v>489</v>
      </c>
      <c r="E85" t="s">
        <v>489</v>
      </c>
      <c r="F85" t="s">
        <v>490</v>
      </c>
      <c r="G85" t="s">
        <v>490</v>
      </c>
    </row>
    <row r="86" spans="1:7">
      <c r="A86" t="s">
        <v>972</v>
      </c>
      <c r="B86" t="s">
        <v>490</v>
      </c>
      <c r="C86" t="s">
        <v>490</v>
      </c>
      <c r="D86" t="s">
        <v>489</v>
      </c>
      <c r="E86" t="s">
        <v>489</v>
      </c>
      <c r="F86" t="s">
        <v>490</v>
      </c>
      <c r="G86" t="s">
        <v>490</v>
      </c>
    </row>
    <row r="87" spans="1:7">
      <c r="A87" t="s">
        <v>972</v>
      </c>
      <c r="B87" t="s">
        <v>490</v>
      </c>
      <c r="C87" t="s">
        <v>490</v>
      </c>
      <c r="D87" t="s">
        <v>489</v>
      </c>
      <c r="E87" t="s">
        <v>489</v>
      </c>
      <c r="F87" t="s">
        <v>490</v>
      </c>
      <c r="G87" t="s">
        <v>490</v>
      </c>
    </row>
    <row r="88" spans="1:7">
      <c r="A88" t="s">
        <v>972</v>
      </c>
      <c r="B88" t="s">
        <v>490</v>
      </c>
      <c r="C88" t="s">
        <v>490</v>
      </c>
      <c r="D88" t="s">
        <v>489</v>
      </c>
      <c r="E88" t="s">
        <v>489</v>
      </c>
      <c r="F88" t="s">
        <v>490</v>
      </c>
      <c r="G88" t="s">
        <v>490</v>
      </c>
    </row>
    <row r="89" spans="1:7">
      <c r="A89" t="s">
        <v>974</v>
      </c>
      <c r="B89" t="s">
        <v>490</v>
      </c>
      <c r="C89" t="s">
        <v>490</v>
      </c>
      <c r="D89" t="s">
        <v>489</v>
      </c>
      <c r="E89" t="s">
        <v>489</v>
      </c>
      <c r="F89" t="s">
        <v>490</v>
      </c>
      <c r="G89" t="s">
        <v>490</v>
      </c>
    </row>
    <row r="90" spans="1:7">
      <c r="A90" t="s">
        <v>972</v>
      </c>
      <c r="B90" t="s">
        <v>490</v>
      </c>
      <c r="C90" t="s">
        <v>490</v>
      </c>
      <c r="D90" t="s">
        <v>489</v>
      </c>
      <c r="E90" t="s">
        <v>489</v>
      </c>
      <c r="F90" t="s">
        <v>490</v>
      </c>
      <c r="G90" t="s">
        <v>490</v>
      </c>
    </row>
    <row r="91" spans="1:7">
      <c r="A91" t="s">
        <v>972</v>
      </c>
      <c r="B91" t="s">
        <v>490</v>
      </c>
      <c r="C91" t="s">
        <v>490</v>
      </c>
      <c r="D91" t="s">
        <v>489</v>
      </c>
      <c r="E91" t="s">
        <v>489</v>
      </c>
      <c r="F91" t="s">
        <v>490</v>
      </c>
      <c r="G91" t="s">
        <v>490</v>
      </c>
    </row>
    <row r="92" spans="1:7">
      <c r="A92" t="s">
        <v>972</v>
      </c>
      <c r="B92" t="s">
        <v>490</v>
      </c>
      <c r="C92" t="s">
        <v>490</v>
      </c>
      <c r="D92" t="s">
        <v>489</v>
      </c>
      <c r="E92" t="s">
        <v>489</v>
      </c>
      <c r="F92" t="s">
        <v>490</v>
      </c>
      <c r="G92" t="s">
        <v>490</v>
      </c>
    </row>
    <row r="93" spans="1:7">
      <c r="A93" t="s">
        <v>972</v>
      </c>
      <c r="B93" t="s">
        <v>490</v>
      </c>
      <c r="C93" t="s">
        <v>490</v>
      </c>
      <c r="D93" t="s">
        <v>489</v>
      </c>
      <c r="E93" t="s">
        <v>489</v>
      </c>
      <c r="F93" t="s">
        <v>490</v>
      </c>
      <c r="G93" t="s">
        <v>490</v>
      </c>
    </row>
    <row r="94" spans="1:7">
      <c r="A94" t="s">
        <v>974</v>
      </c>
      <c r="B94" t="s">
        <v>489</v>
      </c>
      <c r="C94" t="s">
        <v>489</v>
      </c>
      <c r="D94" t="s">
        <v>490</v>
      </c>
      <c r="E94" t="s">
        <v>490</v>
      </c>
      <c r="F94" t="s">
        <v>490</v>
      </c>
      <c r="G94" t="s">
        <v>489</v>
      </c>
    </row>
    <row r="95" spans="1:7">
      <c r="A95" t="s">
        <v>972</v>
      </c>
      <c r="B95" t="s">
        <v>490</v>
      </c>
      <c r="C95" t="s">
        <v>490</v>
      </c>
      <c r="D95" t="s">
        <v>489</v>
      </c>
      <c r="E95" t="s">
        <v>490</v>
      </c>
      <c r="F95" t="s">
        <v>490</v>
      </c>
      <c r="G95" t="s">
        <v>489</v>
      </c>
    </row>
    <row r="96" spans="1:7">
      <c r="A96" t="s">
        <v>972</v>
      </c>
      <c r="B96" t="s">
        <v>490</v>
      </c>
      <c r="C96" t="s">
        <v>490</v>
      </c>
      <c r="D96" t="s">
        <v>489</v>
      </c>
      <c r="E96" t="s">
        <v>490</v>
      </c>
      <c r="F96" t="s">
        <v>490</v>
      </c>
      <c r="G96" t="s">
        <v>489</v>
      </c>
    </row>
    <row r="97" spans="1:19">
      <c r="A97" t="s">
        <v>972</v>
      </c>
      <c r="B97" t="s">
        <v>490</v>
      </c>
      <c r="C97" t="s">
        <v>490</v>
      </c>
      <c r="D97" t="s">
        <v>489</v>
      </c>
      <c r="E97" t="s">
        <v>490</v>
      </c>
      <c r="F97" t="s">
        <v>490</v>
      </c>
      <c r="G97" t="s">
        <v>489</v>
      </c>
    </row>
    <row r="98" spans="1:19">
      <c r="A98" t="s">
        <v>972</v>
      </c>
      <c r="B98" t="s">
        <v>490</v>
      </c>
      <c r="C98" t="s">
        <v>490</v>
      </c>
      <c r="D98" t="s">
        <v>489</v>
      </c>
      <c r="E98" t="s">
        <v>490</v>
      </c>
      <c r="F98" t="s">
        <v>490</v>
      </c>
      <c r="G98" t="s">
        <v>489</v>
      </c>
    </row>
    <row r="99" spans="1:19">
      <c r="A99" t="s">
        <v>972</v>
      </c>
      <c r="B99" t="s">
        <v>490</v>
      </c>
      <c r="C99" t="s">
        <v>490</v>
      </c>
      <c r="D99" t="s">
        <v>489</v>
      </c>
      <c r="E99" t="s">
        <v>490</v>
      </c>
      <c r="F99" t="s">
        <v>490</v>
      </c>
      <c r="G99" t="s">
        <v>489</v>
      </c>
    </row>
    <row r="101" spans="1:19">
      <c r="B101" t="s">
        <v>684</v>
      </c>
      <c r="C101" t="s">
        <v>665</v>
      </c>
      <c r="D101" t="s">
        <v>666</v>
      </c>
      <c r="E101" t="s">
        <v>685</v>
      </c>
      <c r="F101" t="s">
        <v>665</v>
      </c>
      <c r="G101" t="s">
        <v>666</v>
      </c>
    </row>
    <row r="102" spans="1:19">
      <c r="A102" t="s">
        <v>489</v>
      </c>
      <c r="B102" s="25">
        <f>50/139</f>
        <v>0.35971223021582732</v>
      </c>
      <c r="C102" s="25">
        <f>36/139</f>
        <v>0.25899280575539568</v>
      </c>
      <c r="D102" s="38" t="s">
        <v>1293</v>
      </c>
      <c r="E102" s="38">
        <f>87/139</f>
        <v>0.62589928057553956</v>
      </c>
      <c r="F102" s="25">
        <f>54/139</f>
        <v>0.38848920863309355</v>
      </c>
      <c r="G102" s="38" t="s">
        <v>1293</v>
      </c>
      <c r="H102" s="25"/>
      <c r="I102" s="25"/>
      <c r="J102" s="38"/>
      <c r="K102" s="25"/>
      <c r="L102" s="25"/>
      <c r="M102" s="38"/>
      <c r="N102" s="25"/>
      <c r="O102" s="25"/>
      <c r="P102" s="38"/>
      <c r="Q102" s="25"/>
      <c r="R102" s="25"/>
      <c r="S102" s="38"/>
    </row>
    <row r="105" spans="1:19">
      <c r="A105" t="s">
        <v>1216</v>
      </c>
    </row>
    <row r="106" spans="1:19">
      <c r="B106" t="s">
        <v>1394</v>
      </c>
      <c r="C106" t="s">
        <v>1395</v>
      </c>
    </row>
    <row r="107" spans="1:19">
      <c r="A107" t="s">
        <v>1317</v>
      </c>
      <c r="B107" s="15">
        <v>26</v>
      </c>
      <c r="C107" s="15">
        <v>36</v>
      </c>
    </row>
    <row r="108" spans="1:19">
      <c r="A108" t="s">
        <v>1318</v>
      </c>
      <c r="B108" s="15">
        <v>39</v>
      </c>
      <c r="C108" s="15">
        <v>63</v>
      </c>
    </row>
    <row r="109" spans="1:19">
      <c r="B109" s="15"/>
      <c r="C109" s="15"/>
    </row>
    <row r="110" spans="1:19">
      <c r="B110" s="15"/>
      <c r="C110" s="15"/>
    </row>
    <row r="111" spans="1:19">
      <c r="B111" s="15"/>
      <c r="C111" s="15"/>
    </row>
    <row r="112" spans="1:19">
      <c r="B112" s="15"/>
      <c r="C112" s="65"/>
    </row>
    <row r="113" spans="2:3">
      <c r="B113" s="15"/>
      <c r="C113" s="15"/>
    </row>
  </sheetData>
  <sortState ref="A6:G99">
    <sortCondition ref="F6:F99"/>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X105"/>
  <sheetViews>
    <sheetView workbookViewId="0"/>
  </sheetViews>
  <sheetFormatPr defaultRowHeight="14.4"/>
  <cols>
    <col min="1" max="1" width="17" customWidth="1"/>
    <col min="2" max="2" width="14.109375" customWidth="1"/>
    <col min="4" max="4" width="4.88671875" customWidth="1"/>
    <col min="7" max="7" width="4.109375" customWidth="1"/>
    <col min="8" max="8" width="12.6640625" customWidth="1"/>
    <col min="10" max="10" width="4.33203125" customWidth="1"/>
    <col min="13" max="13" width="4.109375" customWidth="1"/>
  </cols>
  <sheetData>
    <row r="1" spans="1:16">
      <c r="A1" s="3" t="s">
        <v>1304</v>
      </c>
    </row>
    <row r="2" spans="1:16">
      <c r="A2" t="s">
        <v>1319</v>
      </c>
    </row>
    <row r="4" spans="1:16">
      <c r="A4" t="s">
        <v>1216</v>
      </c>
    </row>
    <row r="5" spans="1:16">
      <c r="B5" t="s">
        <v>686</v>
      </c>
      <c r="C5" t="s">
        <v>665</v>
      </c>
      <c r="D5" t="s">
        <v>666</v>
      </c>
      <c r="E5" t="s">
        <v>687</v>
      </c>
      <c r="F5" t="s">
        <v>665</v>
      </c>
      <c r="G5" t="s">
        <v>666</v>
      </c>
      <c r="H5" t="s">
        <v>688</v>
      </c>
      <c r="I5" t="s">
        <v>665</v>
      </c>
      <c r="J5" t="s">
        <v>666</v>
      </c>
      <c r="K5" t="s">
        <v>689</v>
      </c>
      <c r="L5" t="s">
        <v>665</v>
      </c>
      <c r="M5" t="s">
        <v>666</v>
      </c>
      <c r="N5" t="s">
        <v>690</v>
      </c>
      <c r="O5" t="s">
        <v>665</v>
      </c>
      <c r="P5" t="s">
        <v>666</v>
      </c>
    </row>
    <row r="6" spans="1:16">
      <c r="A6" t="s">
        <v>973</v>
      </c>
      <c r="B6" t="s">
        <v>489</v>
      </c>
      <c r="C6" t="s">
        <v>489</v>
      </c>
      <c r="D6" t="s">
        <v>490</v>
      </c>
      <c r="E6" t="s">
        <v>489</v>
      </c>
      <c r="F6" t="s">
        <v>489</v>
      </c>
      <c r="G6" t="s">
        <v>490</v>
      </c>
      <c r="H6" t="s">
        <v>489</v>
      </c>
      <c r="I6" t="s">
        <v>489</v>
      </c>
      <c r="J6" t="s">
        <v>490</v>
      </c>
      <c r="K6" t="s">
        <v>489</v>
      </c>
      <c r="L6" t="s">
        <v>489</v>
      </c>
      <c r="M6" t="s">
        <v>490</v>
      </c>
      <c r="N6" t="s">
        <v>489</v>
      </c>
      <c r="O6" t="s">
        <v>489</v>
      </c>
      <c r="P6" t="s">
        <v>490</v>
      </c>
    </row>
    <row r="7" spans="1:16">
      <c r="A7" t="s">
        <v>972</v>
      </c>
      <c r="B7" t="s">
        <v>489</v>
      </c>
      <c r="C7" t="s">
        <v>489</v>
      </c>
      <c r="D7" t="s">
        <v>490</v>
      </c>
      <c r="E7" t="s">
        <v>489</v>
      </c>
      <c r="F7" t="s">
        <v>489</v>
      </c>
      <c r="G7" t="s">
        <v>490</v>
      </c>
      <c r="H7" t="s">
        <v>489</v>
      </c>
      <c r="I7" t="s">
        <v>489</v>
      </c>
      <c r="J7" t="s">
        <v>490</v>
      </c>
      <c r="K7" t="s">
        <v>489</v>
      </c>
      <c r="L7" t="s">
        <v>489</v>
      </c>
      <c r="M7" t="s">
        <v>490</v>
      </c>
      <c r="N7" t="s">
        <v>489</v>
      </c>
      <c r="O7" t="s">
        <v>489</v>
      </c>
      <c r="P7" t="s">
        <v>490</v>
      </c>
    </row>
    <row r="8" spans="1:16">
      <c r="A8" t="s">
        <v>972</v>
      </c>
      <c r="B8" t="s">
        <v>489</v>
      </c>
      <c r="C8" t="s">
        <v>489</v>
      </c>
      <c r="D8" t="s">
        <v>490</v>
      </c>
      <c r="E8" t="s">
        <v>489</v>
      </c>
      <c r="F8" t="s">
        <v>489</v>
      </c>
      <c r="G8" t="s">
        <v>490</v>
      </c>
      <c r="H8" t="s">
        <v>489</v>
      </c>
      <c r="I8" t="s">
        <v>489</v>
      </c>
      <c r="J8" t="s">
        <v>490</v>
      </c>
      <c r="K8" t="s">
        <v>489</v>
      </c>
      <c r="L8" t="s">
        <v>489</v>
      </c>
      <c r="M8" t="s">
        <v>490</v>
      </c>
      <c r="N8" t="s">
        <v>489</v>
      </c>
      <c r="O8" t="s">
        <v>489</v>
      </c>
      <c r="P8" t="s">
        <v>490</v>
      </c>
    </row>
    <row r="9" spans="1:16">
      <c r="A9" t="s">
        <v>972</v>
      </c>
      <c r="B9" t="s">
        <v>489</v>
      </c>
      <c r="C9" t="s">
        <v>489</v>
      </c>
      <c r="D9" t="s">
        <v>490</v>
      </c>
      <c r="E9" t="s">
        <v>489</v>
      </c>
      <c r="F9" t="s">
        <v>489</v>
      </c>
      <c r="G9" t="s">
        <v>490</v>
      </c>
      <c r="H9" t="s">
        <v>489</v>
      </c>
      <c r="I9" t="s">
        <v>489</v>
      </c>
      <c r="J9" t="s">
        <v>490</v>
      </c>
      <c r="K9" t="s">
        <v>489</v>
      </c>
      <c r="L9" t="s">
        <v>489</v>
      </c>
      <c r="M9" t="s">
        <v>490</v>
      </c>
      <c r="N9" t="s">
        <v>489</v>
      </c>
      <c r="O9" t="s">
        <v>489</v>
      </c>
      <c r="P9" t="s">
        <v>490</v>
      </c>
    </row>
    <row r="10" spans="1:16">
      <c r="A10" t="s">
        <v>972</v>
      </c>
      <c r="B10" t="s">
        <v>489</v>
      </c>
      <c r="C10" t="s">
        <v>489</v>
      </c>
      <c r="D10" t="s">
        <v>490</v>
      </c>
      <c r="E10" t="s">
        <v>489</v>
      </c>
      <c r="F10" t="s">
        <v>489</v>
      </c>
      <c r="G10" t="s">
        <v>490</v>
      </c>
      <c r="H10" t="s">
        <v>489</v>
      </c>
      <c r="I10" t="s">
        <v>489</v>
      </c>
      <c r="J10" t="s">
        <v>490</v>
      </c>
      <c r="K10" t="s">
        <v>489</v>
      </c>
      <c r="L10" t="s">
        <v>489</v>
      </c>
      <c r="M10" t="s">
        <v>490</v>
      </c>
      <c r="N10" t="s">
        <v>489</v>
      </c>
      <c r="O10" t="s">
        <v>489</v>
      </c>
      <c r="P10" t="s">
        <v>490</v>
      </c>
    </row>
    <row r="11" spans="1:16">
      <c r="A11" t="s">
        <v>972</v>
      </c>
      <c r="B11" t="s">
        <v>489</v>
      </c>
      <c r="C11" t="s">
        <v>489</v>
      </c>
      <c r="D11" t="s">
        <v>490</v>
      </c>
      <c r="E11" t="s">
        <v>489</v>
      </c>
      <c r="F11" t="s">
        <v>489</v>
      </c>
      <c r="G11" t="s">
        <v>490</v>
      </c>
      <c r="H11" t="s">
        <v>489</v>
      </c>
      <c r="I11" t="s">
        <v>489</v>
      </c>
      <c r="J11" t="s">
        <v>490</v>
      </c>
      <c r="K11" t="s">
        <v>489</v>
      </c>
      <c r="L11" t="s">
        <v>489</v>
      </c>
      <c r="M11" t="s">
        <v>490</v>
      </c>
      <c r="N11" t="s">
        <v>489</v>
      </c>
      <c r="O11" t="s">
        <v>489</v>
      </c>
      <c r="P11" t="s">
        <v>490</v>
      </c>
    </row>
    <row r="12" spans="1:16">
      <c r="A12" t="s">
        <v>972</v>
      </c>
      <c r="B12" t="s">
        <v>489</v>
      </c>
      <c r="C12" t="s">
        <v>489</v>
      </c>
      <c r="D12" t="s">
        <v>490</v>
      </c>
      <c r="E12" t="s">
        <v>489</v>
      </c>
      <c r="F12" t="s">
        <v>489</v>
      </c>
      <c r="G12" t="s">
        <v>490</v>
      </c>
      <c r="H12" t="s">
        <v>489</v>
      </c>
      <c r="I12" t="s">
        <v>489</v>
      </c>
      <c r="J12" t="s">
        <v>490</v>
      </c>
      <c r="K12" t="s">
        <v>489</v>
      </c>
      <c r="L12" t="s">
        <v>489</v>
      </c>
      <c r="M12" t="s">
        <v>490</v>
      </c>
      <c r="N12" t="s">
        <v>489</v>
      </c>
      <c r="O12" t="s">
        <v>489</v>
      </c>
      <c r="P12" t="s">
        <v>490</v>
      </c>
    </row>
    <row r="13" spans="1:16">
      <c r="A13" t="s">
        <v>972</v>
      </c>
      <c r="B13" t="s">
        <v>489</v>
      </c>
      <c r="C13" t="s">
        <v>489</v>
      </c>
      <c r="D13" t="s">
        <v>490</v>
      </c>
      <c r="E13" t="s">
        <v>489</v>
      </c>
      <c r="F13" t="s">
        <v>489</v>
      </c>
      <c r="G13" t="s">
        <v>490</v>
      </c>
      <c r="H13" t="s">
        <v>489</v>
      </c>
      <c r="I13" t="s">
        <v>489</v>
      </c>
      <c r="J13" t="s">
        <v>490</v>
      </c>
      <c r="K13" t="s">
        <v>489</v>
      </c>
      <c r="L13" t="s">
        <v>489</v>
      </c>
      <c r="M13" t="s">
        <v>490</v>
      </c>
      <c r="N13" t="s">
        <v>489</v>
      </c>
      <c r="O13" t="s">
        <v>489</v>
      </c>
      <c r="P13" t="s">
        <v>490</v>
      </c>
    </row>
    <row r="14" spans="1:16">
      <c r="A14" t="s">
        <v>972</v>
      </c>
      <c r="B14" t="s">
        <v>489</v>
      </c>
      <c r="C14" t="s">
        <v>489</v>
      </c>
      <c r="D14" t="s">
        <v>490</v>
      </c>
      <c r="E14" t="s">
        <v>489</v>
      </c>
      <c r="F14" t="s">
        <v>489</v>
      </c>
      <c r="G14" t="s">
        <v>490</v>
      </c>
      <c r="H14" t="s">
        <v>489</v>
      </c>
      <c r="I14" t="s">
        <v>489</v>
      </c>
      <c r="J14" t="s">
        <v>490</v>
      </c>
      <c r="K14" t="s">
        <v>489</v>
      </c>
      <c r="L14" t="s">
        <v>489</v>
      </c>
      <c r="M14" t="s">
        <v>490</v>
      </c>
      <c r="N14" t="s">
        <v>489</v>
      </c>
      <c r="O14" t="s">
        <v>489</v>
      </c>
      <c r="P14" t="s">
        <v>490</v>
      </c>
    </row>
    <row r="15" spans="1:16">
      <c r="A15" t="s">
        <v>972</v>
      </c>
      <c r="B15" t="s">
        <v>489</v>
      </c>
      <c r="C15" t="s">
        <v>490</v>
      </c>
      <c r="D15" t="s">
        <v>490</v>
      </c>
      <c r="E15" t="s">
        <v>489</v>
      </c>
      <c r="F15" t="s">
        <v>489</v>
      </c>
      <c r="G15" t="s">
        <v>490</v>
      </c>
      <c r="H15" t="s">
        <v>489</v>
      </c>
      <c r="I15" t="s">
        <v>489</v>
      </c>
      <c r="J15" t="s">
        <v>490</v>
      </c>
      <c r="K15" t="s">
        <v>489</v>
      </c>
      <c r="L15" t="s">
        <v>489</v>
      </c>
      <c r="M15" t="s">
        <v>490</v>
      </c>
      <c r="N15" t="s">
        <v>489</v>
      </c>
      <c r="O15" t="s">
        <v>489</v>
      </c>
      <c r="P15" t="s">
        <v>490</v>
      </c>
    </row>
    <row r="16" spans="1:16">
      <c r="A16" t="s">
        <v>972</v>
      </c>
      <c r="B16" t="s">
        <v>490</v>
      </c>
      <c r="C16" t="s">
        <v>490</v>
      </c>
      <c r="D16" t="s">
        <v>489</v>
      </c>
      <c r="E16" t="s">
        <v>489</v>
      </c>
      <c r="F16" t="s">
        <v>489</v>
      </c>
      <c r="G16" t="s">
        <v>490</v>
      </c>
      <c r="H16" t="s">
        <v>489</v>
      </c>
      <c r="I16" t="s">
        <v>489</v>
      </c>
      <c r="J16" t="s">
        <v>490</v>
      </c>
      <c r="K16" t="s">
        <v>489</v>
      </c>
      <c r="L16" t="s">
        <v>489</v>
      </c>
      <c r="M16" t="s">
        <v>490</v>
      </c>
      <c r="N16" t="s">
        <v>489</v>
      </c>
      <c r="O16" t="s">
        <v>489</v>
      </c>
      <c r="P16" t="s">
        <v>490</v>
      </c>
    </row>
    <row r="17" spans="1:16">
      <c r="A17" t="s">
        <v>972</v>
      </c>
      <c r="B17" t="s">
        <v>489</v>
      </c>
      <c r="C17" t="s">
        <v>489</v>
      </c>
      <c r="D17" t="s">
        <v>490</v>
      </c>
      <c r="E17" t="s">
        <v>490</v>
      </c>
      <c r="F17" t="s">
        <v>490</v>
      </c>
      <c r="G17" t="s">
        <v>489</v>
      </c>
      <c r="H17" t="s">
        <v>489</v>
      </c>
      <c r="I17" t="s">
        <v>489</v>
      </c>
      <c r="J17" t="s">
        <v>490</v>
      </c>
      <c r="K17" t="s">
        <v>489</v>
      </c>
      <c r="L17" t="s">
        <v>489</v>
      </c>
      <c r="M17" t="s">
        <v>490</v>
      </c>
      <c r="N17" t="s">
        <v>489</v>
      </c>
      <c r="O17" t="s">
        <v>489</v>
      </c>
      <c r="P17" t="s">
        <v>490</v>
      </c>
    </row>
    <row r="18" spans="1:16">
      <c r="A18" t="s">
        <v>972</v>
      </c>
      <c r="B18" t="s">
        <v>489</v>
      </c>
      <c r="C18" t="s">
        <v>489</v>
      </c>
      <c r="D18" t="s">
        <v>490</v>
      </c>
      <c r="E18" t="s">
        <v>490</v>
      </c>
      <c r="F18" t="s">
        <v>490</v>
      </c>
      <c r="G18" t="s">
        <v>489</v>
      </c>
      <c r="H18" t="s">
        <v>489</v>
      </c>
      <c r="I18" t="s">
        <v>489</v>
      </c>
      <c r="J18" t="s">
        <v>490</v>
      </c>
      <c r="K18" t="s">
        <v>489</v>
      </c>
      <c r="L18" t="s">
        <v>489</v>
      </c>
      <c r="M18" t="s">
        <v>490</v>
      </c>
      <c r="N18" t="s">
        <v>489</v>
      </c>
      <c r="O18" t="s">
        <v>489</v>
      </c>
      <c r="P18" t="s">
        <v>490</v>
      </c>
    </row>
    <row r="19" spans="1:16">
      <c r="A19" t="s">
        <v>972</v>
      </c>
      <c r="B19" t="s">
        <v>489</v>
      </c>
      <c r="C19" t="s">
        <v>489</v>
      </c>
      <c r="D19" t="s">
        <v>490</v>
      </c>
      <c r="E19" t="s">
        <v>490</v>
      </c>
      <c r="F19" t="s">
        <v>490</v>
      </c>
      <c r="G19" t="s">
        <v>489</v>
      </c>
      <c r="H19" t="s">
        <v>489</v>
      </c>
      <c r="I19" t="s">
        <v>489</v>
      </c>
      <c r="J19" t="s">
        <v>490</v>
      </c>
      <c r="K19" t="s">
        <v>489</v>
      </c>
      <c r="L19" t="s">
        <v>489</v>
      </c>
      <c r="M19" t="s">
        <v>490</v>
      </c>
      <c r="N19" t="s">
        <v>489</v>
      </c>
      <c r="O19" t="s">
        <v>489</v>
      </c>
      <c r="P19" t="s">
        <v>490</v>
      </c>
    </row>
    <row r="20" spans="1:16">
      <c r="A20" t="s">
        <v>972</v>
      </c>
      <c r="B20" t="s">
        <v>490</v>
      </c>
      <c r="C20" t="s">
        <v>490</v>
      </c>
      <c r="D20" t="s">
        <v>489</v>
      </c>
      <c r="E20" t="s">
        <v>490</v>
      </c>
      <c r="F20" t="s">
        <v>490</v>
      </c>
      <c r="G20" t="s">
        <v>489</v>
      </c>
      <c r="H20" t="s">
        <v>489</v>
      </c>
      <c r="I20" t="s">
        <v>489</v>
      </c>
      <c r="J20" t="s">
        <v>490</v>
      </c>
      <c r="K20" t="s">
        <v>489</v>
      </c>
      <c r="L20" t="s">
        <v>489</v>
      </c>
      <c r="M20" t="s">
        <v>490</v>
      </c>
      <c r="N20" t="s">
        <v>489</v>
      </c>
      <c r="O20" t="s">
        <v>489</v>
      </c>
      <c r="P20" t="s">
        <v>490</v>
      </c>
    </row>
    <row r="21" spans="1:16">
      <c r="A21" t="s">
        <v>972</v>
      </c>
      <c r="B21" t="s">
        <v>490</v>
      </c>
      <c r="C21" t="s">
        <v>490</v>
      </c>
      <c r="D21" t="s">
        <v>489</v>
      </c>
      <c r="E21" t="s">
        <v>490</v>
      </c>
      <c r="F21" t="s">
        <v>490</v>
      </c>
      <c r="G21" t="s">
        <v>489</v>
      </c>
      <c r="H21" t="s">
        <v>489</v>
      </c>
      <c r="I21" t="s">
        <v>489</v>
      </c>
      <c r="J21" t="s">
        <v>490</v>
      </c>
      <c r="K21" t="s">
        <v>489</v>
      </c>
      <c r="L21" t="s">
        <v>489</v>
      </c>
      <c r="M21" t="s">
        <v>490</v>
      </c>
      <c r="N21" t="s">
        <v>489</v>
      </c>
      <c r="O21" t="s">
        <v>489</v>
      </c>
      <c r="P21" t="s">
        <v>490</v>
      </c>
    </row>
    <row r="22" spans="1:16">
      <c r="A22" t="s">
        <v>974</v>
      </c>
      <c r="B22" t="s">
        <v>490</v>
      </c>
      <c r="C22" t="s">
        <v>490</v>
      </c>
      <c r="D22" t="s">
        <v>489</v>
      </c>
      <c r="E22" t="s">
        <v>490</v>
      </c>
      <c r="F22" t="s">
        <v>490</v>
      </c>
      <c r="G22" t="s">
        <v>489</v>
      </c>
      <c r="H22" t="s">
        <v>489</v>
      </c>
      <c r="I22" t="s">
        <v>489</v>
      </c>
      <c r="J22" t="s">
        <v>490</v>
      </c>
      <c r="K22" t="s">
        <v>489</v>
      </c>
      <c r="L22" t="s">
        <v>489</v>
      </c>
      <c r="M22" t="s">
        <v>490</v>
      </c>
      <c r="N22" t="s">
        <v>489</v>
      </c>
      <c r="O22" t="s">
        <v>489</v>
      </c>
      <c r="P22" t="s">
        <v>490</v>
      </c>
    </row>
    <row r="23" spans="1:16">
      <c r="A23" t="s">
        <v>972</v>
      </c>
      <c r="B23" t="s">
        <v>489</v>
      </c>
      <c r="C23" t="s">
        <v>489</v>
      </c>
      <c r="D23" t="s">
        <v>490</v>
      </c>
      <c r="E23" t="s">
        <v>490</v>
      </c>
      <c r="F23" t="s">
        <v>490</v>
      </c>
      <c r="G23" t="s">
        <v>489</v>
      </c>
      <c r="H23" t="s">
        <v>490</v>
      </c>
      <c r="I23" t="s">
        <v>490</v>
      </c>
      <c r="J23" t="s">
        <v>489</v>
      </c>
      <c r="K23" t="s">
        <v>489</v>
      </c>
      <c r="L23" t="s">
        <v>489</v>
      </c>
      <c r="M23" t="s">
        <v>490</v>
      </c>
      <c r="N23" t="s">
        <v>489</v>
      </c>
      <c r="O23" t="s">
        <v>489</v>
      </c>
      <c r="P23" t="s">
        <v>490</v>
      </c>
    </row>
    <row r="24" spans="1:16">
      <c r="A24" t="s">
        <v>972</v>
      </c>
      <c r="B24" t="s">
        <v>489</v>
      </c>
      <c r="C24" t="s">
        <v>489</v>
      </c>
      <c r="D24" t="s">
        <v>490</v>
      </c>
      <c r="E24" t="s">
        <v>489</v>
      </c>
      <c r="F24" t="s">
        <v>489</v>
      </c>
      <c r="G24" t="s">
        <v>490</v>
      </c>
      <c r="H24" t="s">
        <v>489</v>
      </c>
      <c r="I24" t="s">
        <v>489</v>
      </c>
      <c r="J24" t="s">
        <v>490</v>
      </c>
      <c r="K24" t="s">
        <v>489</v>
      </c>
      <c r="L24" t="s">
        <v>490</v>
      </c>
      <c r="M24" t="s">
        <v>490</v>
      </c>
      <c r="N24" t="s">
        <v>489</v>
      </c>
      <c r="O24" t="s">
        <v>489</v>
      </c>
      <c r="P24" t="s">
        <v>490</v>
      </c>
    </row>
    <row r="25" spans="1:16">
      <c r="A25" t="s">
        <v>972</v>
      </c>
      <c r="B25" t="s">
        <v>489</v>
      </c>
      <c r="C25" t="s">
        <v>489</v>
      </c>
      <c r="D25" t="s">
        <v>490</v>
      </c>
      <c r="E25" t="s">
        <v>489</v>
      </c>
      <c r="F25" t="s">
        <v>490</v>
      </c>
      <c r="G25" t="s">
        <v>490</v>
      </c>
      <c r="H25" t="s">
        <v>489</v>
      </c>
      <c r="I25" t="s">
        <v>489</v>
      </c>
      <c r="J25" t="s">
        <v>490</v>
      </c>
      <c r="K25" t="s">
        <v>489</v>
      </c>
      <c r="L25" t="s">
        <v>490</v>
      </c>
      <c r="M25" t="s">
        <v>490</v>
      </c>
      <c r="N25" t="s">
        <v>489</v>
      </c>
      <c r="O25" t="s">
        <v>489</v>
      </c>
      <c r="P25" t="s">
        <v>490</v>
      </c>
    </row>
    <row r="26" spans="1:16">
      <c r="A26" t="s">
        <v>954</v>
      </c>
      <c r="B26" t="s">
        <v>489</v>
      </c>
      <c r="C26" t="s">
        <v>489</v>
      </c>
      <c r="D26" t="s">
        <v>490</v>
      </c>
      <c r="E26" t="s">
        <v>489</v>
      </c>
      <c r="F26" t="s">
        <v>489</v>
      </c>
      <c r="G26" t="s">
        <v>490</v>
      </c>
      <c r="H26" t="s">
        <v>489</v>
      </c>
      <c r="I26" t="s">
        <v>489</v>
      </c>
      <c r="J26" t="s">
        <v>490</v>
      </c>
      <c r="K26" t="s">
        <v>490</v>
      </c>
      <c r="L26" t="s">
        <v>490</v>
      </c>
      <c r="M26" t="s">
        <v>489</v>
      </c>
      <c r="N26" t="s">
        <v>489</v>
      </c>
      <c r="O26" t="s">
        <v>489</v>
      </c>
      <c r="P26" t="s">
        <v>490</v>
      </c>
    </row>
    <row r="27" spans="1:16">
      <c r="A27" t="s">
        <v>974</v>
      </c>
      <c r="B27" t="s">
        <v>489</v>
      </c>
      <c r="C27" t="s">
        <v>489</v>
      </c>
      <c r="D27" t="s">
        <v>490</v>
      </c>
      <c r="E27" t="s">
        <v>490</v>
      </c>
      <c r="F27" t="s">
        <v>490</v>
      </c>
      <c r="G27" t="s">
        <v>489</v>
      </c>
      <c r="H27" t="s">
        <v>489</v>
      </c>
      <c r="I27" t="s">
        <v>489</v>
      </c>
      <c r="J27" t="s">
        <v>490</v>
      </c>
      <c r="K27" t="s">
        <v>490</v>
      </c>
      <c r="L27" t="s">
        <v>490</v>
      </c>
      <c r="M27" t="s">
        <v>489</v>
      </c>
      <c r="N27" t="s">
        <v>489</v>
      </c>
      <c r="O27" t="s">
        <v>489</v>
      </c>
      <c r="P27" t="s">
        <v>490</v>
      </c>
    </row>
    <row r="28" spans="1:16">
      <c r="A28" t="s">
        <v>974</v>
      </c>
      <c r="B28" t="s">
        <v>490</v>
      </c>
      <c r="C28" t="s">
        <v>490</v>
      </c>
      <c r="D28" t="s">
        <v>489</v>
      </c>
      <c r="E28" t="s">
        <v>490</v>
      </c>
      <c r="F28" t="s">
        <v>490</v>
      </c>
      <c r="G28" t="s">
        <v>489</v>
      </c>
      <c r="H28" t="s">
        <v>489</v>
      </c>
      <c r="I28" t="s">
        <v>489</v>
      </c>
      <c r="J28" t="s">
        <v>490</v>
      </c>
      <c r="K28" t="s">
        <v>490</v>
      </c>
      <c r="L28" t="s">
        <v>490</v>
      </c>
      <c r="M28" t="s">
        <v>489</v>
      </c>
      <c r="N28" t="s">
        <v>489</v>
      </c>
      <c r="O28" t="s">
        <v>489</v>
      </c>
      <c r="P28" t="s">
        <v>490</v>
      </c>
    </row>
    <row r="29" spans="1:16">
      <c r="A29" t="s">
        <v>972</v>
      </c>
      <c r="B29" t="s">
        <v>490</v>
      </c>
      <c r="C29" t="s">
        <v>490</v>
      </c>
      <c r="D29" t="s">
        <v>489</v>
      </c>
      <c r="E29" t="s">
        <v>490</v>
      </c>
      <c r="F29" t="s">
        <v>490</v>
      </c>
      <c r="G29" t="s">
        <v>489</v>
      </c>
      <c r="H29" t="s">
        <v>489</v>
      </c>
      <c r="I29" t="s">
        <v>490</v>
      </c>
      <c r="J29" t="s">
        <v>490</v>
      </c>
      <c r="K29" t="s">
        <v>490</v>
      </c>
      <c r="L29" t="s">
        <v>490</v>
      </c>
      <c r="M29" t="s">
        <v>489</v>
      </c>
      <c r="N29" t="s">
        <v>489</v>
      </c>
      <c r="O29" t="s">
        <v>489</v>
      </c>
      <c r="P29" t="s">
        <v>490</v>
      </c>
    </row>
    <row r="30" spans="1:16">
      <c r="A30" t="s">
        <v>972</v>
      </c>
      <c r="B30" t="s">
        <v>489</v>
      </c>
      <c r="C30" t="s">
        <v>489</v>
      </c>
      <c r="D30" t="s">
        <v>490</v>
      </c>
      <c r="E30" t="s">
        <v>490</v>
      </c>
      <c r="F30" t="s">
        <v>490</v>
      </c>
      <c r="G30" t="s">
        <v>489</v>
      </c>
      <c r="H30" t="s">
        <v>490</v>
      </c>
      <c r="I30" t="s">
        <v>490</v>
      </c>
      <c r="J30" t="s">
        <v>489</v>
      </c>
      <c r="K30" t="s">
        <v>490</v>
      </c>
      <c r="L30" t="s">
        <v>490</v>
      </c>
      <c r="M30" t="s">
        <v>489</v>
      </c>
      <c r="N30" t="s">
        <v>489</v>
      </c>
      <c r="O30" t="s">
        <v>489</v>
      </c>
      <c r="P30" t="s">
        <v>490</v>
      </c>
    </row>
    <row r="31" spans="1:16">
      <c r="A31" t="s">
        <v>972</v>
      </c>
      <c r="B31" t="s">
        <v>489</v>
      </c>
      <c r="C31" t="s">
        <v>490</v>
      </c>
      <c r="D31" t="s">
        <v>490</v>
      </c>
      <c r="E31" t="s">
        <v>490</v>
      </c>
      <c r="F31" t="s">
        <v>490</v>
      </c>
      <c r="G31" t="s">
        <v>489</v>
      </c>
      <c r="H31" t="s">
        <v>489</v>
      </c>
      <c r="I31" t="s">
        <v>489</v>
      </c>
      <c r="J31" t="s">
        <v>490</v>
      </c>
      <c r="K31" t="s">
        <v>489</v>
      </c>
      <c r="L31" t="s">
        <v>490</v>
      </c>
      <c r="M31" t="s">
        <v>490</v>
      </c>
      <c r="N31" t="s">
        <v>489</v>
      </c>
      <c r="O31" t="s">
        <v>490</v>
      </c>
      <c r="P31" t="s">
        <v>490</v>
      </c>
    </row>
    <row r="32" spans="1:16">
      <c r="A32" t="s">
        <v>972</v>
      </c>
      <c r="B32" t="s">
        <v>489</v>
      </c>
      <c r="C32" t="s">
        <v>490</v>
      </c>
      <c r="D32" t="s">
        <v>490</v>
      </c>
      <c r="E32" t="s">
        <v>489</v>
      </c>
      <c r="F32" t="s">
        <v>490</v>
      </c>
      <c r="G32" t="s">
        <v>490</v>
      </c>
      <c r="H32" t="s">
        <v>489</v>
      </c>
      <c r="I32" t="s">
        <v>490</v>
      </c>
      <c r="J32" t="s">
        <v>490</v>
      </c>
      <c r="K32" t="s">
        <v>489</v>
      </c>
      <c r="L32" t="s">
        <v>490</v>
      </c>
      <c r="M32" t="s">
        <v>490</v>
      </c>
      <c r="N32" t="s">
        <v>489</v>
      </c>
      <c r="O32" t="s">
        <v>490</v>
      </c>
      <c r="P32" t="s">
        <v>490</v>
      </c>
    </row>
    <row r="33" spans="1:16">
      <c r="A33" t="s">
        <v>972</v>
      </c>
      <c r="B33" t="s">
        <v>489</v>
      </c>
      <c r="C33" t="s">
        <v>490</v>
      </c>
      <c r="D33" t="s">
        <v>490</v>
      </c>
      <c r="E33" t="s">
        <v>489</v>
      </c>
      <c r="F33" t="s">
        <v>490</v>
      </c>
      <c r="G33" t="s">
        <v>490</v>
      </c>
      <c r="H33" t="s">
        <v>489</v>
      </c>
      <c r="I33" t="s">
        <v>490</v>
      </c>
      <c r="J33" t="s">
        <v>490</v>
      </c>
      <c r="K33" t="s">
        <v>489</v>
      </c>
      <c r="L33" t="s">
        <v>490</v>
      </c>
      <c r="M33" t="s">
        <v>490</v>
      </c>
      <c r="N33" t="s">
        <v>489</v>
      </c>
      <c r="O33" t="s">
        <v>490</v>
      </c>
      <c r="P33" t="s">
        <v>490</v>
      </c>
    </row>
    <row r="34" spans="1:16">
      <c r="A34" t="s">
        <v>972</v>
      </c>
      <c r="B34" t="s">
        <v>489</v>
      </c>
      <c r="C34" t="s">
        <v>490</v>
      </c>
      <c r="D34" t="s">
        <v>490</v>
      </c>
      <c r="E34" t="s">
        <v>489</v>
      </c>
      <c r="F34" t="s">
        <v>490</v>
      </c>
      <c r="G34" t="s">
        <v>490</v>
      </c>
      <c r="H34" t="s">
        <v>489</v>
      </c>
      <c r="I34" t="s">
        <v>490</v>
      </c>
      <c r="J34" t="s">
        <v>490</v>
      </c>
      <c r="K34" t="s">
        <v>489</v>
      </c>
      <c r="L34" t="s">
        <v>490</v>
      </c>
      <c r="M34" t="s">
        <v>490</v>
      </c>
      <c r="N34" t="s">
        <v>489</v>
      </c>
      <c r="O34" t="s">
        <v>490</v>
      </c>
      <c r="P34" t="s">
        <v>490</v>
      </c>
    </row>
    <row r="35" spans="1:16">
      <c r="A35" t="s">
        <v>972</v>
      </c>
      <c r="B35" t="s">
        <v>489</v>
      </c>
      <c r="C35" t="s">
        <v>490</v>
      </c>
      <c r="D35" t="s">
        <v>490</v>
      </c>
      <c r="E35" t="s">
        <v>489</v>
      </c>
      <c r="F35" t="s">
        <v>490</v>
      </c>
      <c r="G35" t="s">
        <v>490</v>
      </c>
      <c r="H35" t="s">
        <v>489</v>
      </c>
      <c r="I35" t="s">
        <v>490</v>
      </c>
      <c r="J35" t="s">
        <v>490</v>
      </c>
      <c r="K35" t="s">
        <v>489</v>
      </c>
      <c r="L35" t="s">
        <v>490</v>
      </c>
      <c r="M35" t="s">
        <v>490</v>
      </c>
      <c r="N35" t="s">
        <v>489</v>
      </c>
      <c r="O35" t="s">
        <v>490</v>
      </c>
      <c r="P35" t="s">
        <v>490</v>
      </c>
    </row>
    <row r="36" spans="1:16">
      <c r="A36" t="s">
        <v>972</v>
      </c>
      <c r="B36" t="s">
        <v>489</v>
      </c>
      <c r="C36" t="s">
        <v>490</v>
      </c>
      <c r="D36" t="s">
        <v>490</v>
      </c>
      <c r="E36" t="s">
        <v>489</v>
      </c>
      <c r="F36" t="s">
        <v>490</v>
      </c>
      <c r="G36" t="s">
        <v>490</v>
      </c>
      <c r="H36" t="s">
        <v>489</v>
      </c>
      <c r="I36" t="s">
        <v>490</v>
      </c>
      <c r="J36" t="s">
        <v>490</v>
      </c>
      <c r="K36" t="s">
        <v>489</v>
      </c>
      <c r="L36" t="s">
        <v>490</v>
      </c>
      <c r="M36" t="s">
        <v>490</v>
      </c>
      <c r="N36" t="s">
        <v>489</v>
      </c>
      <c r="O36" t="s">
        <v>490</v>
      </c>
      <c r="P36" t="s">
        <v>490</v>
      </c>
    </row>
    <row r="37" spans="1:16">
      <c r="A37" t="s">
        <v>972</v>
      </c>
      <c r="B37" t="s">
        <v>489</v>
      </c>
      <c r="C37" t="s">
        <v>490</v>
      </c>
      <c r="D37" t="s">
        <v>490</v>
      </c>
      <c r="E37" t="s">
        <v>489</v>
      </c>
      <c r="F37" t="s">
        <v>490</v>
      </c>
      <c r="G37" t="s">
        <v>490</v>
      </c>
      <c r="H37" t="s">
        <v>489</v>
      </c>
      <c r="I37" t="s">
        <v>490</v>
      </c>
      <c r="J37" t="s">
        <v>490</v>
      </c>
      <c r="K37" t="s">
        <v>489</v>
      </c>
      <c r="L37" t="s">
        <v>490</v>
      </c>
      <c r="M37" t="s">
        <v>490</v>
      </c>
      <c r="N37" t="s">
        <v>489</v>
      </c>
      <c r="O37" t="s">
        <v>490</v>
      </c>
      <c r="P37" t="s">
        <v>490</v>
      </c>
    </row>
    <row r="38" spans="1:16">
      <c r="A38" t="s">
        <v>972</v>
      </c>
      <c r="B38" t="s">
        <v>489</v>
      </c>
      <c r="C38" t="s">
        <v>490</v>
      </c>
      <c r="D38" t="s">
        <v>490</v>
      </c>
      <c r="E38" t="s">
        <v>489</v>
      </c>
      <c r="F38" t="s">
        <v>490</v>
      </c>
      <c r="G38" t="s">
        <v>490</v>
      </c>
      <c r="H38" t="s">
        <v>489</v>
      </c>
      <c r="I38" t="s">
        <v>490</v>
      </c>
      <c r="J38" t="s">
        <v>490</v>
      </c>
      <c r="K38" t="s">
        <v>489</v>
      </c>
      <c r="L38" t="s">
        <v>490</v>
      </c>
      <c r="M38" t="s">
        <v>490</v>
      </c>
      <c r="N38" t="s">
        <v>489</v>
      </c>
      <c r="O38" t="s">
        <v>490</v>
      </c>
      <c r="P38" t="s">
        <v>490</v>
      </c>
    </row>
    <row r="39" spans="1:16">
      <c r="A39" t="s">
        <v>972</v>
      </c>
      <c r="B39" t="s">
        <v>489</v>
      </c>
      <c r="C39" t="s">
        <v>490</v>
      </c>
      <c r="D39" t="s">
        <v>490</v>
      </c>
      <c r="E39" t="s">
        <v>489</v>
      </c>
      <c r="F39" t="s">
        <v>490</v>
      </c>
      <c r="G39" t="s">
        <v>490</v>
      </c>
      <c r="H39" t="s">
        <v>489</v>
      </c>
      <c r="I39" t="s">
        <v>490</v>
      </c>
      <c r="J39" t="s">
        <v>490</v>
      </c>
      <c r="K39" t="s">
        <v>489</v>
      </c>
      <c r="L39" t="s">
        <v>490</v>
      </c>
      <c r="M39" t="s">
        <v>490</v>
      </c>
      <c r="N39" t="s">
        <v>489</v>
      </c>
      <c r="O39" t="s">
        <v>490</v>
      </c>
      <c r="P39" t="s">
        <v>490</v>
      </c>
    </row>
    <row r="40" spans="1:16">
      <c r="A40" t="s">
        <v>972</v>
      </c>
      <c r="B40" t="s">
        <v>489</v>
      </c>
      <c r="C40" t="s">
        <v>490</v>
      </c>
      <c r="D40" t="s">
        <v>490</v>
      </c>
      <c r="E40" t="s">
        <v>489</v>
      </c>
      <c r="F40" t="s">
        <v>490</v>
      </c>
      <c r="G40" t="s">
        <v>490</v>
      </c>
      <c r="H40" t="s">
        <v>489</v>
      </c>
      <c r="I40" t="s">
        <v>490</v>
      </c>
      <c r="J40" t="s">
        <v>490</v>
      </c>
      <c r="K40" t="s">
        <v>489</v>
      </c>
      <c r="L40" t="s">
        <v>490</v>
      </c>
      <c r="M40" t="s">
        <v>490</v>
      </c>
      <c r="N40" t="s">
        <v>489</v>
      </c>
      <c r="O40" t="s">
        <v>490</v>
      </c>
      <c r="P40" t="s">
        <v>490</v>
      </c>
    </row>
    <row r="41" spans="1:16">
      <c r="A41" t="s">
        <v>972</v>
      </c>
      <c r="B41" t="s">
        <v>489</v>
      </c>
      <c r="C41" t="s">
        <v>490</v>
      </c>
      <c r="D41" t="s">
        <v>490</v>
      </c>
      <c r="E41" t="s">
        <v>489</v>
      </c>
      <c r="F41" t="s">
        <v>490</v>
      </c>
      <c r="G41" t="s">
        <v>490</v>
      </c>
      <c r="H41" t="s">
        <v>489</v>
      </c>
      <c r="I41" t="s">
        <v>490</v>
      </c>
      <c r="J41" t="s">
        <v>490</v>
      </c>
      <c r="K41" t="s">
        <v>489</v>
      </c>
      <c r="L41" t="s">
        <v>490</v>
      </c>
      <c r="M41" t="s">
        <v>490</v>
      </c>
      <c r="N41" t="s">
        <v>489</v>
      </c>
      <c r="O41" t="s">
        <v>490</v>
      </c>
      <c r="P41" t="s">
        <v>490</v>
      </c>
    </row>
    <row r="42" spans="1:16">
      <c r="A42" t="s">
        <v>972</v>
      </c>
      <c r="B42" t="s">
        <v>489</v>
      </c>
      <c r="C42" t="s">
        <v>490</v>
      </c>
      <c r="D42" t="s">
        <v>490</v>
      </c>
      <c r="E42" t="s">
        <v>489</v>
      </c>
      <c r="F42" t="s">
        <v>490</v>
      </c>
      <c r="G42" t="s">
        <v>490</v>
      </c>
      <c r="H42" t="s">
        <v>489</v>
      </c>
      <c r="I42" t="s">
        <v>490</v>
      </c>
      <c r="J42" t="s">
        <v>490</v>
      </c>
      <c r="K42" t="s">
        <v>489</v>
      </c>
      <c r="L42" t="s">
        <v>490</v>
      </c>
      <c r="M42" t="s">
        <v>490</v>
      </c>
      <c r="N42" t="s">
        <v>489</v>
      </c>
      <c r="O42" t="s">
        <v>490</v>
      </c>
      <c r="P42" t="s">
        <v>490</v>
      </c>
    </row>
    <row r="43" spans="1:16">
      <c r="A43" t="s">
        <v>974</v>
      </c>
      <c r="B43" t="s">
        <v>489</v>
      </c>
      <c r="C43" t="s">
        <v>490</v>
      </c>
      <c r="D43" t="s">
        <v>490</v>
      </c>
      <c r="E43" t="s">
        <v>489</v>
      </c>
      <c r="F43" t="s">
        <v>490</v>
      </c>
      <c r="G43" t="s">
        <v>490</v>
      </c>
      <c r="H43" t="s">
        <v>489</v>
      </c>
      <c r="I43" t="s">
        <v>490</v>
      </c>
      <c r="J43" t="s">
        <v>490</v>
      </c>
      <c r="K43" t="s">
        <v>489</v>
      </c>
      <c r="L43" t="s">
        <v>490</v>
      </c>
      <c r="M43" t="s">
        <v>490</v>
      </c>
      <c r="N43" t="s">
        <v>489</v>
      </c>
      <c r="O43" t="s">
        <v>490</v>
      </c>
      <c r="P43" t="s">
        <v>490</v>
      </c>
    </row>
    <row r="44" spans="1:16">
      <c r="A44" t="s">
        <v>972</v>
      </c>
      <c r="B44" t="s">
        <v>489</v>
      </c>
      <c r="C44" t="s">
        <v>490</v>
      </c>
      <c r="D44" t="s">
        <v>490</v>
      </c>
      <c r="E44" t="s">
        <v>489</v>
      </c>
      <c r="F44" t="s">
        <v>490</v>
      </c>
      <c r="G44" t="s">
        <v>490</v>
      </c>
      <c r="H44" t="s">
        <v>489</v>
      </c>
      <c r="I44" t="s">
        <v>490</v>
      </c>
      <c r="J44" t="s">
        <v>490</v>
      </c>
      <c r="K44" t="s">
        <v>489</v>
      </c>
      <c r="L44" t="s">
        <v>490</v>
      </c>
      <c r="M44" t="s">
        <v>490</v>
      </c>
      <c r="N44" t="s">
        <v>489</v>
      </c>
      <c r="O44" t="s">
        <v>490</v>
      </c>
      <c r="P44" t="s">
        <v>490</v>
      </c>
    </row>
    <row r="45" spans="1:16">
      <c r="A45" t="s">
        <v>972</v>
      </c>
      <c r="B45" t="s">
        <v>490</v>
      </c>
      <c r="C45" t="s">
        <v>490</v>
      </c>
      <c r="D45" t="s">
        <v>489</v>
      </c>
      <c r="E45" t="s">
        <v>489</v>
      </c>
      <c r="F45" t="s">
        <v>490</v>
      </c>
      <c r="G45" t="s">
        <v>490</v>
      </c>
      <c r="H45" t="s">
        <v>489</v>
      </c>
      <c r="I45" t="s">
        <v>490</v>
      </c>
      <c r="J45" t="s">
        <v>490</v>
      </c>
      <c r="K45" t="s">
        <v>489</v>
      </c>
      <c r="L45" t="s">
        <v>490</v>
      </c>
      <c r="M45" t="s">
        <v>490</v>
      </c>
      <c r="N45" t="s">
        <v>489</v>
      </c>
      <c r="O45" t="s">
        <v>490</v>
      </c>
      <c r="P45" t="s">
        <v>490</v>
      </c>
    </row>
    <row r="46" spans="1:16">
      <c r="A46" t="s">
        <v>972</v>
      </c>
      <c r="B46" t="s">
        <v>490</v>
      </c>
      <c r="C46" t="s">
        <v>490</v>
      </c>
      <c r="D46" t="s">
        <v>489</v>
      </c>
      <c r="E46" t="s">
        <v>489</v>
      </c>
      <c r="F46" t="s">
        <v>490</v>
      </c>
      <c r="G46" t="s">
        <v>490</v>
      </c>
      <c r="H46" t="s">
        <v>489</v>
      </c>
      <c r="I46" t="s">
        <v>490</v>
      </c>
      <c r="J46" t="s">
        <v>490</v>
      </c>
      <c r="K46" t="s">
        <v>489</v>
      </c>
      <c r="L46" t="s">
        <v>490</v>
      </c>
      <c r="M46" t="s">
        <v>490</v>
      </c>
      <c r="N46" t="s">
        <v>489</v>
      </c>
      <c r="O46" t="s">
        <v>490</v>
      </c>
      <c r="P46" t="s">
        <v>490</v>
      </c>
    </row>
    <row r="47" spans="1:16">
      <c r="A47" t="s">
        <v>972</v>
      </c>
      <c r="B47" t="s">
        <v>489</v>
      </c>
      <c r="C47" t="s">
        <v>490</v>
      </c>
      <c r="D47" t="s">
        <v>490</v>
      </c>
      <c r="E47" t="s">
        <v>490</v>
      </c>
      <c r="F47" t="s">
        <v>490</v>
      </c>
      <c r="G47" t="s">
        <v>489</v>
      </c>
      <c r="H47" t="s">
        <v>489</v>
      </c>
      <c r="I47" t="s">
        <v>490</v>
      </c>
      <c r="J47" t="s">
        <v>490</v>
      </c>
      <c r="K47" t="s">
        <v>489</v>
      </c>
      <c r="L47" t="s">
        <v>490</v>
      </c>
      <c r="M47" t="s">
        <v>490</v>
      </c>
      <c r="N47" t="s">
        <v>489</v>
      </c>
      <c r="O47" t="s">
        <v>490</v>
      </c>
      <c r="P47" t="s">
        <v>490</v>
      </c>
    </row>
    <row r="48" spans="1:16">
      <c r="A48" t="s">
        <v>972</v>
      </c>
      <c r="B48" t="s">
        <v>489</v>
      </c>
      <c r="C48" t="s">
        <v>490</v>
      </c>
      <c r="D48" t="s">
        <v>490</v>
      </c>
      <c r="E48" t="s">
        <v>490</v>
      </c>
      <c r="F48" t="s">
        <v>490</v>
      </c>
      <c r="G48" t="s">
        <v>489</v>
      </c>
      <c r="H48" t="s">
        <v>489</v>
      </c>
      <c r="I48" t="s">
        <v>490</v>
      </c>
      <c r="J48" t="s">
        <v>490</v>
      </c>
      <c r="K48" t="s">
        <v>489</v>
      </c>
      <c r="L48" t="s">
        <v>490</v>
      </c>
      <c r="M48" t="s">
        <v>490</v>
      </c>
      <c r="N48" t="s">
        <v>489</v>
      </c>
      <c r="O48" t="s">
        <v>490</v>
      </c>
      <c r="P48" t="s">
        <v>490</v>
      </c>
    </row>
    <row r="49" spans="1:16">
      <c r="A49" t="s">
        <v>972</v>
      </c>
      <c r="B49" t="s">
        <v>489</v>
      </c>
      <c r="C49" t="s">
        <v>490</v>
      </c>
      <c r="D49" t="s">
        <v>490</v>
      </c>
      <c r="E49" t="s">
        <v>490</v>
      </c>
      <c r="F49" t="s">
        <v>490</v>
      </c>
      <c r="G49" t="s">
        <v>489</v>
      </c>
      <c r="H49" t="s">
        <v>489</v>
      </c>
      <c r="I49" t="s">
        <v>490</v>
      </c>
      <c r="J49" t="s">
        <v>490</v>
      </c>
      <c r="K49" t="s">
        <v>489</v>
      </c>
      <c r="L49" t="s">
        <v>490</v>
      </c>
      <c r="M49" t="s">
        <v>490</v>
      </c>
      <c r="N49" t="s">
        <v>489</v>
      </c>
      <c r="O49" t="s">
        <v>490</v>
      </c>
      <c r="P49" t="s">
        <v>490</v>
      </c>
    </row>
    <row r="50" spans="1:16">
      <c r="A50" t="s">
        <v>974</v>
      </c>
      <c r="B50" t="s">
        <v>489</v>
      </c>
      <c r="C50" t="s">
        <v>490</v>
      </c>
      <c r="D50" t="s">
        <v>490</v>
      </c>
      <c r="E50" t="s">
        <v>490</v>
      </c>
      <c r="F50" t="s">
        <v>490</v>
      </c>
      <c r="G50" t="s">
        <v>489</v>
      </c>
      <c r="H50" t="s">
        <v>489</v>
      </c>
      <c r="I50" t="s">
        <v>490</v>
      </c>
      <c r="J50" t="s">
        <v>490</v>
      </c>
      <c r="K50" t="s">
        <v>489</v>
      </c>
      <c r="L50" t="s">
        <v>490</v>
      </c>
      <c r="M50" t="s">
        <v>490</v>
      </c>
      <c r="N50" t="s">
        <v>489</v>
      </c>
      <c r="O50" t="s">
        <v>490</v>
      </c>
      <c r="P50" t="s">
        <v>490</v>
      </c>
    </row>
    <row r="51" spans="1:16">
      <c r="A51" t="s">
        <v>972</v>
      </c>
      <c r="B51" t="s">
        <v>489</v>
      </c>
      <c r="C51" t="s">
        <v>490</v>
      </c>
      <c r="D51" t="s">
        <v>490</v>
      </c>
      <c r="E51" t="s">
        <v>490</v>
      </c>
      <c r="F51" t="s">
        <v>490</v>
      </c>
      <c r="G51" t="s">
        <v>489</v>
      </c>
      <c r="H51" t="s">
        <v>489</v>
      </c>
      <c r="I51" t="s">
        <v>490</v>
      </c>
      <c r="J51" t="s">
        <v>490</v>
      </c>
      <c r="K51" t="s">
        <v>489</v>
      </c>
      <c r="L51" t="s">
        <v>490</v>
      </c>
      <c r="M51" t="s">
        <v>490</v>
      </c>
      <c r="N51" t="s">
        <v>489</v>
      </c>
      <c r="O51" t="s">
        <v>490</v>
      </c>
      <c r="P51" t="s">
        <v>490</v>
      </c>
    </row>
    <row r="52" spans="1:16">
      <c r="A52" t="s">
        <v>972</v>
      </c>
      <c r="B52" t="s">
        <v>489</v>
      </c>
      <c r="C52" t="s">
        <v>490</v>
      </c>
      <c r="D52" t="s">
        <v>490</v>
      </c>
      <c r="E52" t="s">
        <v>490</v>
      </c>
      <c r="F52" t="s">
        <v>490</v>
      </c>
      <c r="G52" t="s">
        <v>489</v>
      </c>
      <c r="H52" t="s">
        <v>489</v>
      </c>
      <c r="I52" t="s">
        <v>490</v>
      </c>
      <c r="J52" t="s">
        <v>490</v>
      </c>
      <c r="K52" t="s">
        <v>489</v>
      </c>
      <c r="L52" t="s">
        <v>490</v>
      </c>
      <c r="M52" t="s">
        <v>490</v>
      </c>
      <c r="N52" t="s">
        <v>489</v>
      </c>
      <c r="O52" t="s">
        <v>490</v>
      </c>
      <c r="P52" t="s">
        <v>490</v>
      </c>
    </row>
    <row r="53" spans="1:16">
      <c r="A53" t="s">
        <v>972</v>
      </c>
      <c r="B53" t="s">
        <v>490</v>
      </c>
      <c r="C53" t="s">
        <v>490</v>
      </c>
      <c r="D53" t="s">
        <v>489</v>
      </c>
      <c r="E53" t="s">
        <v>490</v>
      </c>
      <c r="F53" t="s">
        <v>490</v>
      </c>
      <c r="G53" t="s">
        <v>489</v>
      </c>
      <c r="H53" t="s">
        <v>489</v>
      </c>
      <c r="I53" t="s">
        <v>490</v>
      </c>
      <c r="J53" t="s">
        <v>490</v>
      </c>
      <c r="K53" t="s">
        <v>489</v>
      </c>
      <c r="L53" t="s">
        <v>490</v>
      </c>
      <c r="M53" t="s">
        <v>490</v>
      </c>
      <c r="N53" t="s">
        <v>489</v>
      </c>
      <c r="O53" t="s">
        <v>490</v>
      </c>
      <c r="P53" t="s">
        <v>490</v>
      </c>
    </row>
    <row r="54" spans="1:16">
      <c r="A54" t="s">
        <v>972</v>
      </c>
      <c r="B54" t="s">
        <v>490</v>
      </c>
      <c r="C54" t="s">
        <v>490</v>
      </c>
      <c r="D54" t="s">
        <v>489</v>
      </c>
      <c r="E54" t="s">
        <v>490</v>
      </c>
      <c r="F54" t="s">
        <v>490</v>
      </c>
      <c r="G54" t="s">
        <v>489</v>
      </c>
      <c r="H54" t="s">
        <v>489</v>
      </c>
      <c r="I54" t="s">
        <v>490</v>
      </c>
      <c r="J54" t="s">
        <v>490</v>
      </c>
      <c r="K54" t="s">
        <v>489</v>
      </c>
      <c r="L54" t="s">
        <v>490</v>
      </c>
      <c r="M54" t="s">
        <v>490</v>
      </c>
      <c r="N54" t="s">
        <v>489</v>
      </c>
      <c r="O54" t="s">
        <v>490</v>
      </c>
      <c r="P54" t="s">
        <v>490</v>
      </c>
    </row>
    <row r="55" spans="1:16">
      <c r="A55" t="s">
        <v>972</v>
      </c>
      <c r="B55" t="s">
        <v>490</v>
      </c>
      <c r="C55" t="s">
        <v>490</v>
      </c>
      <c r="D55" t="s">
        <v>489</v>
      </c>
      <c r="E55" t="s">
        <v>490</v>
      </c>
      <c r="F55" t="s">
        <v>490</v>
      </c>
      <c r="G55" t="s">
        <v>489</v>
      </c>
      <c r="H55" t="s">
        <v>489</v>
      </c>
      <c r="I55" t="s">
        <v>490</v>
      </c>
      <c r="J55" t="s">
        <v>490</v>
      </c>
      <c r="K55" t="s">
        <v>489</v>
      </c>
      <c r="L55" t="s">
        <v>490</v>
      </c>
      <c r="M55" t="s">
        <v>490</v>
      </c>
      <c r="N55" t="s">
        <v>489</v>
      </c>
      <c r="O55" t="s">
        <v>490</v>
      </c>
      <c r="P55" t="s">
        <v>490</v>
      </c>
    </row>
    <row r="56" spans="1:16">
      <c r="A56" t="s">
        <v>972</v>
      </c>
      <c r="B56" t="s">
        <v>490</v>
      </c>
      <c r="C56" t="s">
        <v>490</v>
      </c>
      <c r="D56" t="s">
        <v>489</v>
      </c>
      <c r="E56" t="s">
        <v>490</v>
      </c>
      <c r="F56" t="s">
        <v>490</v>
      </c>
      <c r="G56" t="s">
        <v>489</v>
      </c>
      <c r="H56" t="s">
        <v>489</v>
      </c>
      <c r="I56" t="s">
        <v>490</v>
      </c>
      <c r="J56" t="s">
        <v>490</v>
      </c>
      <c r="K56" t="s">
        <v>489</v>
      </c>
      <c r="L56" t="s">
        <v>490</v>
      </c>
      <c r="M56" t="s">
        <v>490</v>
      </c>
      <c r="N56" t="s">
        <v>489</v>
      </c>
      <c r="O56" t="s">
        <v>490</v>
      </c>
      <c r="P56" t="s">
        <v>490</v>
      </c>
    </row>
    <row r="57" spans="1:16">
      <c r="A57" t="s">
        <v>974</v>
      </c>
      <c r="B57" t="s">
        <v>490</v>
      </c>
      <c r="C57" t="s">
        <v>490</v>
      </c>
      <c r="D57" t="s">
        <v>489</v>
      </c>
      <c r="E57" t="s">
        <v>490</v>
      </c>
      <c r="F57" t="s">
        <v>490</v>
      </c>
      <c r="G57" t="s">
        <v>489</v>
      </c>
      <c r="H57" t="s">
        <v>489</v>
      </c>
      <c r="I57" t="s">
        <v>490</v>
      </c>
      <c r="J57" t="s">
        <v>490</v>
      </c>
      <c r="K57" t="s">
        <v>489</v>
      </c>
      <c r="L57" t="s">
        <v>490</v>
      </c>
      <c r="M57" t="s">
        <v>490</v>
      </c>
      <c r="N57" t="s">
        <v>489</v>
      </c>
      <c r="O57" t="s">
        <v>490</v>
      </c>
      <c r="P57" t="s">
        <v>490</v>
      </c>
    </row>
    <row r="58" spans="1:16">
      <c r="A58" t="s">
        <v>974</v>
      </c>
      <c r="B58" t="s">
        <v>490</v>
      </c>
      <c r="C58" t="s">
        <v>490</v>
      </c>
      <c r="D58" t="s">
        <v>489</v>
      </c>
      <c r="E58" t="s">
        <v>490</v>
      </c>
      <c r="F58" t="s">
        <v>490</v>
      </c>
      <c r="G58" t="s">
        <v>489</v>
      </c>
      <c r="H58" t="s">
        <v>489</v>
      </c>
      <c r="I58" t="s">
        <v>490</v>
      </c>
      <c r="J58" t="s">
        <v>490</v>
      </c>
      <c r="K58" t="s">
        <v>489</v>
      </c>
      <c r="L58" t="s">
        <v>490</v>
      </c>
      <c r="M58" t="s">
        <v>490</v>
      </c>
      <c r="N58" t="s">
        <v>489</v>
      </c>
      <c r="O58" t="s">
        <v>490</v>
      </c>
      <c r="P58" t="s">
        <v>490</v>
      </c>
    </row>
    <row r="59" spans="1:16">
      <c r="A59" t="s">
        <v>972</v>
      </c>
      <c r="B59" t="s">
        <v>490</v>
      </c>
      <c r="C59" t="s">
        <v>489</v>
      </c>
      <c r="D59" t="s">
        <v>490</v>
      </c>
      <c r="E59" t="s">
        <v>490</v>
      </c>
      <c r="F59" t="s">
        <v>490</v>
      </c>
      <c r="G59" t="s">
        <v>489</v>
      </c>
      <c r="H59" t="s">
        <v>490</v>
      </c>
      <c r="I59" t="s">
        <v>490</v>
      </c>
      <c r="J59" t="s">
        <v>489</v>
      </c>
      <c r="K59" t="s">
        <v>489</v>
      </c>
      <c r="L59" t="s">
        <v>490</v>
      </c>
      <c r="M59" t="s">
        <v>490</v>
      </c>
      <c r="N59" t="s">
        <v>489</v>
      </c>
      <c r="O59" t="s">
        <v>490</v>
      </c>
      <c r="P59" t="s">
        <v>490</v>
      </c>
    </row>
    <row r="60" spans="1:16">
      <c r="A60" t="s">
        <v>974</v>
      </c>
      <c r="B60" t="s">
        <v>490</v>
      </c>
      <c r="C60" t="s">
        <v>490</v>
      </c>
      <c r="D60" t="s">
        <v>489</v>
      </c>
      <c r="E60" t="s">
        <v>490</v>
      </c>
      <c r="F60" t="s">
        <v>490</v>
      </c>
      <c r="G60" t="s">
        <v>489</v>
      </c>
      <c r="H60" t="s">
        <v>490</v>
      </c>
      <c r="I60" t="s">
        <v>490</v>
      </c>
      <c r="J60" t="s">
        <v>489</v>
      </c>
      <c r="K60" t="s">
        <v>489</v>
      </c>
      <c r="L60" t="s">
        <v>490</v>
      </c>
      <c r="M60" t="s">
        <v>490</v>
      </c>
      <c r="N60" t="s">
        <v>489</v>
      </c>
      <c r="O60" t="s">
        <v>490</v>
      </c>
      <c r="P60" t="s">
        <v>490</v>
      </c>
    </row>
    <row r="61" spans="1:16">
      <c r="A61" t="s">
        <v>972</v>
      </c>
      <c r="B61" t="s">
        <v>490</v>
      </c>
      <c r="C61" t="s">
        <v>490</v>
      </c>
      <c r="D61" t="s">
        <v>489</v>
      </c>
      <c r="E61" t="s">
        <v>489</v>
      </c>
      <c r="F61" t="s">
        <v>490</v>
      </c>
      <c r="G61" t="s">
        <v>490</v>
      </c>
      <c r="H61" t="s">
        <v>489</v>
      </c>
      <c r="I61" t="s">
        <v>489</v>
      </c>
      <c r="J61" t="s">
        <v>490</v>
      </c>
      <c r="K61" t="s">
        <v>490</v>
      </c>
      <c r="L61" t="s">
        <v>490</v>
      </c>
      <c r="M61" t="s">
        <v>489</v>
      </c>
      <c r="N61" t="s">
        <v>489</v>
      </c>
      <c r="O61" t="s">
        <v>490</v>
      </c>
      <c r="P61" t="s">
        <v>490</v>
      </c>
    </row>
    <row r="62" spans="1:16">
      <c r="A62" t="s">
        <v>972</v>
      </c>
      <c r="B62" t="s">
        <v>489</v>
      </c>
      <c r="C62" t="s">
        <v>490</v>
      </c>
      <c r="D62" t="s">
        <v>490</v>
      </c>
      <c r="E62" t="s">
        <v>489</v>
      </c>
      <c r="F62" t="s">
        <v>490</v>
      </c>
      <c r="G62" t="s">
        <v>490</v>
      </c>
      <c r="H62" t="s">
        <v>489</v>
      </c>
      <c r="I62" t="s">
        <v>490</v>
      </c>
      <c r="J62" t="s">
        <v>490</v>
      </c>
      <c r="K62" t="s">
        <v>490</v>
      </c>
      <c r="L62" t="s">
        <v>490</v>
      </c>
      <c r="M62" t="s">
        <v>489</v>
      </c>
      <c r="N62" t="s">
        <v>489</v>
      </c>
      <c r="O62" t="s">
        <v>490</v>
      </c>
      <c r="P62" t="s">
        <v>490</v>
      </c>
    </row>
    <row r="63" spans="1:16">
      <c r="A63" t="s">
        <v>974</v>
      </c>
      <c r="B63" t="s">
        <v>489</v>
      </c>
      <c r="C63" t="s">
        <v>490</v>
      </c>
      <c r="D63" t="s">
        <v>490</v>
      </c>
      <c r="E63" t="s">
        <v>489</v>
      </c>
      <c r="F63" t="s">
        <v>490</v>
      </c>
      <c r="G63" t="s">
        <v>490</v>
      </c>
      <c r="H63" t="s">
        <v>489</v>
      </c>
      <c r="I63" t="s">
        <v>490</v>
      </c>
      <c r="J63" t="s">
        <v>490</v>
      </c>
      <c r="K63" t="s">
        <v>490</v>
      </c>
      <c r="L63" t="s">
        <v>490</v>
      </c>
      <c r="M63" t="s">
        <v>489</v>
      </c>
      <c r="N63" t="s">
        <v>489</v>
      </c>
      <c r="O63" t="s">
        <v>490</v>
      </c>
      <c r="P63" t="s">
        <v>490</v>
      </c>
    </row>
    <row r="64" spans="1:16">
      <c r="A64" t="s">
        <v>972</v>
      </c>
      <c r="B64" t="s">
        <v>489</v>
      </c>
      <c r="C64" t="s">
        <v>490</v>
      </c>
      <c r="D64" t="s">
        <v>490</v>
      </c>
      <c r="E64" t="s">
        <v>489</v>
      </c>
      <c r="F64" t="s">
        <v>490</v>
      </c>
      <c r="G64" t="s">
        <v>490</v>
      </c>
      <c r="H64" t="s">
        <v>489</v>
      </c>
      <c r="I64" t="s">
        <v>490</v>
      </c>
      <c r="J64" t="s">
        <v>490</v>
      </c>
      <c r="K64" t="s">
        <v>490</v>
      </c>
      <c r="L64" t="s">
        <v>490</v>
      </c>
      <c r="M64" t="s">
        <v>489</v>
      </c>
      <c r="N64" t="s">
        <v>489</v>
      </c>
      <c r="O64" t="s">
        <v>490</v>
      </c>
      <c r="P64" t="s">
        <v>490</v>
      </c>
    </row>
    <row r="65" spans="1:16">
      <c r="A65" t="s">
        <v>974</v>
      </c>
      <c r="B65" t="s">
        <v>490</v>
      </c>
      <c r="C65" t="s">
        <v>490</v>
      </c>
      <c r="D65" t="s">
        <v>489</v>
      </c>
      <c r="E65" t="s">
        <v>489</v>
      </c>
      <c r="F65" t="s">
        <v>490</v>
      </c>
      <c r="G65" t="s">
        <v>490</v>
      </c>
      <c r="H65" t="s">
        <v>489</v>
      </c>
      <c r="I65" t="s">
        <v>490</v>
      </c>
      <c r="J65" t="s">
        <v>490</v>
      </c>
      <c r="K65" t="s">
        <v>490</v>
      </c>
      <c r="L65" t="s">
        <v>490</v>
      </c>
      <c r="M65" t="s">
        <v>489</v>
      </c>
      <c r="N65" t="s">
        <v>489</v>
      </c>
      <c r="O65" t="s">
        <v>490</v>
      </c>
      <c r="P65" t="s">
        <v>490</v>
      </c>
    </row>
    <row r="66" spans="1:16">
      <c r="A66" t="s">
        <v>972</v>
      </c>
      <c r="B66" t="s">
        <v>489</v>
      </c>
      <c r="C66" t="s">
        <v>490</v>
      </c>
      <c r="D66" t="s">
        <v>490</v>
      </c>
      <c r="E66" t="s">
        <v>490</v>
      </c>
      <c r="F66" t="s">
        <v>490</v>
      </c>
      <c r="G66" t="s">
        <v>489</v>
      </c>
      <c r="H66" t="s">
        <v>489</v>
      </c>
      <c r="I66" t="s">
        <v>490</v>
      </c>
      <c r="J66" t="s">
        <v>490</v>
      </c>
      <c r="K66" t="s">
        <v>490</v>
      </c>
      <c r="L66" t="s">
        <v>490</v>
      </c>
      <c r="M66" t="s">
        <v>489</v>
      </c>
      <c r="N66" t="s">
        <v>489</v>
      </c>
      <c r="O66" t="s">
        <v>490</v>
      </c>
      <c r="P66" t="s">
        <v>490</v>
      </c>
    </row>
    <row r="67" spans="1:16">
      <c r="A67" t="s">
        <v>972</v>
      </c>
      <c r="B67" t="s">
        <v>490</v>
      </c>
      <c r="C67" t="s">
        <v>490</v>
      </c>
      <c r="D67" t="s">
        <v>489</v>
      </c>
      <c r="E67" t="s">
        <v>490</v>
      </c>
      <c r="F67" t="s">
        <v>490</v>
      </c>
      <c r="G67" t="s">
        <v>489</v>
      </c>
      <c r="H67" t="s">
        <v>489</v>
      </c>
      <c r="I67" t="s">
        <v>490</v>
      </c>
      <c r="J67" t="s">
        <v>490</v>
      </c>
      <c r="K67" t="s">
        <v>490</v>
      </c>
      <c r="L67" t="s">
        <v>490</v>
      </c>
      <c r="M67" t="s">
        <v>489</v>
      </c>
      <c r="N67" t="s">
        <v>489</v>
      </c>
      <c r="O67" t="s">
        <v>490</v>
      </c>
      <c r="P67" t="s">
        <v>490</v>
      </c>
    </row>
    <row r="68" spans="1:16">
      <c r="A68" t="s">
        <v>972</v>
      </c>
      <c r="B68" t="s">
        <v>490</v>
      </c>
      <c r="C68" t="s">
        <v>490</v>
      </c>
      <c r="D68" t="s">
        <v>489</v>
      </c>
      <c r="E68" t="s">
        <v>490</v>
      </c>
      <c r="F68" t="s">
        <v>490</v>
      </c>
      <c r="G68" t="s">
        <v>489</v>
      </c>
      <c r="H68" t="s">
        <v>489</v>
      </c>
      <c r="I68" t="s">
        <v>490</v>
      </c>
      <c r="J68" t="s">
        <v>490</v>
      </c>
      <c r="K68" t="s">
        <v>490</v>
      </c>
      <c r="L68" t="s">
        <v>490</v>
      </c>
      <c r="M68" t="s">
        <v>489</v>
      </c>
      <c r="N68" t="s">
        <v>489</v>
      </c>
      <c r="O68" t="s">
        <v>490</v>
      </c>
      <c r="P68" t="s">
        <v>490</v>
      </c>
    </row>
    <row r="69" spans="1:16">
      <c r="A69" t="s">
        <v>972</v>
      </c>
      <c r="B69" t="s">
        <v>489</v>
      </c>
      <c r="C69" t="s">
        <v>489</v>
      </c>
      <c r="D69" t="s">
        <v>490</v>
      </c>
      <c r="E69" t="s">
        <v>490</v>
      </c>
      <c r="F69" t="s">
        <v>490</v>
      </c>
      <c r="G69" t="s">
        <v>489</v>
      </c>
      <c r="H69" t="s">
        <v>490</v>
      </c>
      <c r="I69" t="s">
        <v>490</v>
      </c>
      <c r="J69" t="s">
        <v>489</v>
      </c>
      <c r="K69" t="s">
        <v>490</v>
      </c>
      <c r="L69" t="s">
        <v>490</v>
      </c>
      <c r="M69" t="s">
        <v>489</v>
      </c>
      <c r="N69" t="s">
        <v>489</v>
      </c>
      <c r="O69" t="s">
        <v>490</v>
      </c>
      <c r="P69" t="s">
        <v>490</v>
      </c>
    </row>
    <row r="70" spans="1:16">
      <c r="A70" t="s">
        <v>972</v>
      </c>
      <c r="B70" t="s">
        <v>490</v>
      </c>
      <c r="C70" t="s">
        <v>490</v>
      </c>
      <c r="D70" t="s">
        <v>489</v>
      </c>
      <c r="E70" t="s">
        <v>490</v>
      </c>
      <c r="F70" t="s">
        <v>490</v>
      </c>
      <c r="G70" t="s">
        <v>489</v>
      </c>
      <c r="H70" t="s">
        <v>490</v>
      </c>
      <c r="I70" t="s">
        <v>490</v>
      </c>
      <c r="J70" t="s">
        <v>489</v>
      </c>
      <c r="K70" t="s">
        <v>490</v>
      </c>
      <c r="L70" t="s">
        <v>490</v>
      </c>
      <c r="M70" t="s">
        <v>489</v>
      </c>
      <c r="N70" t="s">
        <v>489</v>
      </c>
      <c r="O70" t="s">
        <v>490</v>
      </c>
      <c r="P70" t="s">
        <v>490</v>
      </c>
    </row>
    <row r="71" spans="1:16">
      <c r="A71" t="s">
        <v>972</v>
      </c>
      <c r="B71" t="s">
        <v>489</v>
      </c>
      <c r="C71" t="s">
        <v>489</v>
      </c>
      <c r="D71" t="s">
        <v>490</v>
      </c>
      <c r="E71" t="s">
        <v>489</v>
      </c>
      <c r="F71" t="s">
        <v>489</v>
      </c>
      <c r="G71" t="s">
        <v>490</v>
      </c>
      <c r="H71" t="s">
        <v>489</v>
      </c>
      <c r="I71" t="s">
        <v>489</v>
      </c>
      <c r="J71" t="s">
        <v>490</v>
      </c>
      <c r="K71" t="s">
        <v>489</v>
      </c>
      <c r="L71" t="s">
        <v>489</v>
      </c>
      <c r="M71" t="s">
        <v>490</v>
      </c>
      <c r="N71" t="s">
        <v>490</v>
      </c>
      <c r="O71" t="s">
        <v>490</v>
      </c>
      <c r="P71" t="s">
        <v>489</v>
      </c>
    </row>
    <row r="72" spans="1:16">
      <c r="A72" t="s">
        <v>972</v>
      </c>
      <c r="B72" t="s">
        <v>489</v>
      </c>
      <c r="C72" t="s">
        <v>489</v>
      </c>
      <c r="D72" t="s">
        <v>490</v>
      </c>
      <c r="E72" t="s">
        <v>490</v>
      </c>
      <c r="F72" t="s">
        <v>490</v>
      </c>
      <c r="G72" t="s">
        <v>489</v>
      </c>
      <c r="H72" t="s">
        <v>489</v>
      </c>
      <c r="I72" t="s">
        <v>489</v>
      </c>
      <c r="J72" t="s">
        <v>490</v>
      </c>
      <c r="K72" t="s">
        <v>489</v>
      </c>
      <c r="L72" t="s">
        <v>489</v>
      </c>
      <c r="M72" t="s">
        <v>490</v>
      </c>
      <c r="N72" t="s">
        <v>490</v>
      </c>
      <c r="O72" t="s">
        <v>490</v>
      </c>
      <c r="P72" t="s">
        <v>489</v>
      </c>
    </row>
    <row r="73" spans="1:16">
      <c r="A73" t="s">
        <v>972</v>
      </c>
      <c r="B73" t="s">
        <v>489</v>
      </c>
      <c r="C73" t="s">
        <v>489</v>
      </c>
      <c r="D73" t="s">
        <v>490</v>
      </c>
      <c r="E73" t="s">
        <v>490</v>
      </c>
      <c r="F73" t="s">
        <v>490</v>
      </c>
      <c r="G73" t="s">
        <v>489</v>
      </c>
      <c r="H73" t="s">
        <v>489</v>
      </c>
      <c r="I73" t="s">
        <v>489</v>
      </c>
      <c r="J73" t="s">
        <v>490</v>
      </c>
      <c r="K73" t="s">
        <v>489</v>
      </c>
      <c r="L73" t="s">
        <v>489</v>
      </c>
      <c r="M73" t="s">
        <v>490</v>
      </c>
      <c r="N73" t="s">
        <v>490</v>
      </c>
      <c r="O73" t="s">
        <v>490</v>
      </c>
      <c r="P73" t="s">
        <v>489</v>
      </c>
    </row>
    <row r="74" spans="1:16">
      <c r="A74" t="s">
        <v>972</v>
      </c>
      <c r="B74" t="s">
        <v>490</v>
      </c>
      <c r="C74" t="s">
        <v>490</v>
      </c>
      <c r="D74" t="s">
        <v>489</v>
      </c>
      <c r="E74" t="s">
        <v>489</v>
      </c>
      <c r="F74" t="s">
        <v>489</v>
      </c>
      <c r="G74" t="s">
        <v>490</v>
      </c>
      <c r="H74" t="s">
        <v>490</v>
      </c>
      <c r="I74" t="s">
        <v>490</v>
      </c>
      <c r="J74" t="s">
        <v>489</v>
      </c>
      <c r="K74" t="s">
        <v>489</v>
      </c>
      <c r="L74" t="s">
        <v>489</v>
      </c>
      <c r="M74" t="s">
        <v>490</v>
      </c>
      <c r="N74" t="s">
        <v>490</v>
      </c>
      <c r="O74" t="s">
        <v>490</v>
      </c>
      <c r="P74" t="s">
        <v>489</v>
      </c>
    </row>
    <row r="75" spans="1:16">
      <c r="A75" t="s">
        <v>972</v>
      </c>
      <c r="B75" t="s">
        <v>489</v>
      </c>
      <c r="C75" t="s">
        <v>490</v>
      </c>
      <c r="D75" t="s">
        <v>490</v>
      </c>
      <c r="E75" t="s">
        <v>490</v>
      </c>
      <c r="F75" t="s">
        <v>490</v>
      </c>
      <c r="G75" t="s">
        <v>489</v>
      </c>
      <c r="H75" t="s">
        <v>490</v>
      </c>
      <c r="I75" t="s">
        <v>490</v>
      </c>
      <c r="J75" t="s">
        <v>489</v>
      </c>
      <c r="K75" t="s">
        <v>489</v>
      </c>
      <c r="L75" t="s">
        <v>489</v>
      </c>
      <c r="M75" t="s">
        <v>490</v>
      </c>
      <c r="N75" t="s">
        <v>490</v>
      </c>
      <c r="O75" t="s">
        <v>490</v>
      </c>
      <c r="P75" t="s">
        <v>489</v>
      </c>
    </row>
    <row r="76" spans="1:16">
      <c r="A76" t="s">
        <v>972</v>
      </c>
      <c r="B76" t="s">
        <v>489</v>
      </c>
      <c r="C76" t="s">
        <v>489</v>
      </c>
      <c r="D76" t="s">
        <v>490</v>
      </c>
      <c r="E76" t="s">
        <v>490</v>
      </c>
      <c r="F76" t="s">
        <v>490</v>
      </c>
      <c r="G76" t="s">
        <v>489</v>
      </c>
      <c r="H76" t="s">
        <v>489</v>
      </c>
      <c r="I76" t="s">
        <v>489</v>
      </c>
      <c r="J76" t="s">
        <v>490</v>
      </c>
      <c r="K76" t="s">
        <v>489</v>
      </c>
      <c r="L76" t="s">
        <v>490</v>
      </c>
      <c r="M76" t="s">
        <v>490</v>
      </c>
      <c r="N76" t="s">
        <v>490</v>
      </c>
      <c r="O76" t="s">
        <v>490</v>
      </c>
      <c r="P76" t="s">
        <v>489</v>
      </c>
    </row>
    <row r="77" spans="1:16">
      <c r="A77" t="s">
        <v>972</v>
      </c>
      <c r="B77" t="s">
        <v>490</v>
      </c>
      <c r="C77" t="s">
        <v>490</v>
      </c>
      <c r="D77" t="s">
        <v>489</v>
      </c>
      <c r="E77" t="s">
        <v>489</v>
      </c>
      <c r="F77" t="s">
        <v>490</v>
      </c>
      <c r="G77" t="s">
        <v>490</v>
      </c>
      <c r="H77" t="s">
        <v>489</v>
      </c>
      <c r="I77" t="s">
        <v>490</v>
      </c>
      <c r="J77" t="s">
        <v>490</v>
      </c>
      <c r="K77" t="s">
        <v>489</v>
      </c>
      <c r="L77" t="s">
        <v>490</v>
      </c>
      <c r="M77" t="s">
        <v>490</v>
      </c>
      <c r="N77" t="s">
        <v>490</v>
      </c>
      <c r="O77" t="s">
        <v>490</v>
      </c>
      <c r="P77" t="s">
        <v>489</v>
      </c>
    </row>
    <row r="78" spans="1:16">
      <c r="A78" t="s">
        <v>972</v>
      </c>
      <c r="B78" t="s">
        <v>489</v>
      </c>
      <c r="C78" t="s">
        <v>490</v>
      </c>
      <c r="D78" t="s">
        <v>490</v>
      </c>
      <c r="E78" t="s">
        <v>490</v>
      </c>
      <c r="F78" t="s">
        <v>490</v>
      </c>
      <c r="G78" t="s">
        <v>489</v>
      </c>
      <c r="H78" t="s">
        <v>490</v>
      </c>
      <c r="I78" t="s">
        <v>490</v>
      </c>
      <c r="J78" t="s">
        <v>489</v>
      </c>
      <c r="K78" t="s">
        <v>489</v>
      </c>
      <c r="L78" t="s">
        <v>490</v>
      </c>
      <c r="M78" t="s">
        <v>490</v>
      </c>
      <c r="N78" t="s">
        <v>490</v>
      </c>
      <c r="O78" t="s">
        <v>490</v>
      </c>
      <c r="P78" t="s">
        <v>489</v>
      </c>
    </row>
    <row r="79" spans="1:16">
      <c r="A79" t="s">
        <v>973</v>
      </c>
      <c r="B79" t="s">
        <v>489</v>
      </c>
      <c r="C79" t="s">
        <v>489</v>
      </c>
      <c r="D79" t="s">
        <v>490</v>
      </c>
      <c r="E79" t="s">
        <v>490</v>
      </c>
      <c r="F79" t="s">
        <v>490</v>
      </c>
      <c r="G79" t="s">
        <v>489</v>
      </c>
      <c r="H79" t="s">
        <v>489</v>
      </c>
      <c r="I79" t="s">
        <v>489</v>
      </c>
      <c r="J79" t="s">
        <v>490</v>
      </c>
      <c r="K79" t="s">
        <v>490</v>
      </c>
      <c r="L79" t="s">
        <v>490</v>
      </c>
      <c r="M79" t="s">
        <v>489</v>
      </c>
      <c r="N79" t="s">
        <v>490</v>
      </c>
      <c r="O79" t="s">
        <v>490</v>
      </c>
      <c r="P79" t="s">
        <v>489</v>
      </c>
    </row>
    <row r="80" spans="1:16">
      <c r="A80" t="s">
        <v>972</v>
      </c>
      <c r="B80" t="s">
        <v>489</v>
      </c>
      <c r="C80" t="s">
        <v>489</v>
      </c>
      <c r="D80" t="s">
        <v>490</v>
      </c>
      <c r="E80" t="s">
        <v>490</v>
      </c>
      <c r="F80" t="s">
        <v>490</v>
      </c>
      <c r="G80" t="s">
        <v>489</v>
      </c>
      <c r="H80" t="s">
        <v>489</v>
      </c>
      <c r="I80" t="s">
        <v>489</v>
      </c>
      <c r="J80" t="s">
        <v>490</v>
      </c>
      <c r="K80" t="s">
        <v>490</v>
      </c>
      <c r="L80" t="s">
        <v>490</v>
      </c>
      <c r="M80" t="s">
        <v>489</v>
      </c>
      <c r="N80" t="s">
        <v>490</v>
      </c>
      <c r="O80" t="s">
        <v>490</v>
      </c>
      <c r="P80" t="s">
        <v>489</v>
      </c>
    </row>
    <row r="81" spans="1:24">
      <c r="A81" t="s">
        <v>972</v>
      </c>
      <c r="B81" t="s">
        <v>490</v>
      </c>
      <c r="C81" t="s">
        <v>490</v>
      </c>
      <c r="D81" t="s">
        <v>489</v>
      </c>
      <c r="E81" t="s">
        <v>490</v>
      </c>
      <c r="F81" t="s">
        <v>490</v>
      </c>
      <c r="G81" t="s">
        <v>489</v>
      </c>
      <c r="H81" t="s">
        <v>489</v>
      </c>
      <c r="I81" t="s">
        <v>489</v>
      </c>
      <c r="J81" t="s">
        <v>490</v>
      </c>
      <c r="K81" t="s">
        <v>490</v>
      </c>
      <c r="L81" t="s">
        <v>490</v>
      </c>
      <c r="M81" t="s">
        <v>489</v>
      </c>
      <c r="N81" t="s">
        <v>490</v>
      </c>
      <c r="O81" t="s">
        <v>490</v>
      </c>
      <c r="P81" t="s">
        <v>489</v>
      </c>
    </row>
    <row r="82" spans="1:24">
      <c r="A82" t="s">
        <v>972</v>
      </c>
      <c r="B82" t="s">
        <v>490</v>
      </c>
      <c r="C82" t="s">
        <v>490</v>
      </c>
      <c r="D82" t="s">
        <v>489</v>
      </c>
      <c r="E82" t="s">
        <v>490</v>
      </c>
      <c r="F82" t="s">
        <v>490</v>
      </c>
      <c r="G82" t="s">
        <v>489</v>
      </c>
      <c r="H82" t="s">
        <v>489</v>
      </c>
      <c r="I82" t="s">
        <v>489</v>
      </c>
      <c r="J82" t="s">
        <v>490</v>
      </c>
      <c r="K82" t="s">
        <v>490</v>
      </c>
      <c r="L82" t="s">
        <v>490</v>
      </c>
      <c r="M82" t="s">
        <v>489</v>
      </c>
      <c r="N82" t="s">
        <v>490</v>
      </c>
      <c r="O82" t="s">
        <v>490</v>
      </c>
      <c r="P82" t="s">
        <v>489</v>
      </c>
    </row>
    <row r="83" spans="1:24">
      <c r="A83" t="s">
        <v>972</v>
      </c>
      <c r="B83" t="s">
        <v>490</v>
      </c>
      <c r="C83" t="s">
        <v>490</v>
      </c>
      <c r="D83" t="s">
        <v>489</v>
      </c>
      <c r="E83" t="s">
        <v>490</v>
      </c>
      <c r="F83" t="s">
        <v>490</v>
      </c>
      <c r="G83" t="s">
        <v>489</v>
      </c>
      <c r="H83" t="s">
        <v>489</v>
      </c>
      <c r="I83" t="s">
        <v>489</v>
      </c>
      <c r="J83" t="s">
        <v>490</v>
      </c>
      <c r="K83" t="s">
        <v>490</v>
      </c>
      <c r="L83" t="s">
        <v>490</v>
      </c>
      <c r="M83" t="s">
        <v>489</v>
      </c>
      <c r="N83" t="s">
        <v>490</v>
      </c>
      <c r="O83" t="s">
        <v>490</v>
      </c>
      <c r="P83" t="s">
        <v>489</v>
      </c>
    </row>
    <row r="84" spans="1:24">
      <c r="A84" t="s">
        <v>972</v>
      </c>
      <c r="B84" t="s">
        <v>490</v>
      </c>
      <c r="C84" t="s">
        <v>490</v>
      </c>
      <c r="D84" t="s">
        <v>489</v>
      </c>
      <c r="E84" t="s">
        <v>489</v>
      </c>
      <c r="F84" t="s">
        <v>490</v>
      </c>
      <c r="G84" t="s">
        <v>490</v>
      </c>
      <c r="H84" t="s">
        <v>489</v>
      </c>
      <c r="I84" t="s">
        <v>490</v>
      </c>
      <c r="J84" t="s">
        <v>490</v>
      </c>
      <c r="K84" t="s">
        <v>490</v>
      </c>
      <c r="L84" t="s">
        <v>490</v>
      </c>
      <c r="M84" t="s">
        <v>489</v>
      </c>
      <c r="N84" t="s">
        <v>490</v>
      </c>
      <c r="O84" t="s">
        <v>490</v>
      </c>
      <c r="P84" t="s">
        <v>489</v>
      </c>
    </row>
    <row r="85" spans="1:24">
      <c r="A85" t="s">
        <v>972</v>
      </c>
      <c r="B85" t="s">
        <v>489</v>
      </c>
      <c r="C85" t="s">
        <v>489</v>
      </c>
      <c r="D85" t="s">
        <v>490</v>
      </c>
      <c r="E85" t="s">
        <v>490</v>
      </c>
      <c r="F85" t="s">
        <v>490</v>
      </c>
      <c r="G85" t="s">
        <v>489</v>
      </c>
      <c r="H85" t="s">
        <v>489</v>
      </c>
      <c r="I85" t="s">
        <v>490</v>
      </c>
      <c r="J85" t="s">
        <v>490</v>
      </c>
      <c r="K85" t="s">
        <v>490</v>
      </c>
      <c r="L85" t="s">
        <v>490</v>
      </c>
      <c r="M85" t="s">
        <v>489</v>
      </c>
      <c r="N85" t="s">
        <v>490</v>
      </c>
      <c r="O85" t="s">
        <v>490</v>
      </c>
      <c r="P85" t="s">
        <v>489</v>
      </c>
    </row>
    <row r="86" spans="1:24">
      <c r="A86" t="s">
        <v>954</v>
      </c>
      <c r="B86" t="s">
        <v>489</v>
      </c>
      <c r="C86" t="s">
        <v>490</v>
      </c>
      <c r="D86" t="s">
        <v>490</v>
      </c>
      <c r="E86" t="s">
        <v>490</v>
      </c>
      <c r="F86" t="s">
        <v>490</v>
      </c>
      <c r="G86" t="s">
        <v>489</v>
      </c>
      <c r="H86" t="s">
        <v>489</v>
      </c>
      <c r="I86" t="s">
        <v>490</v>
      </c>
      <c r="J86" t="s">
        <v>490</v>
      </c>
      <c r="K86" t="s">
        <v>490</v>
      </c>
      <c r="L86" t="s">
        <v>490</v>
      </c>
      <c r="M86" t="s">
        <v>489</v>
      </c>
      <c r="N86" t="s">
        <v>490</v>
      </c>
      <c r="O86" t="s">
        <v>490</v>
      </c>
      <c r="P86" t="s">
        <v>489</v>
      </c>
    </row>
    <row r="87" spans="1:24">
      <c r="A87" t="s">
        <v>974</v>
      </c>
      <c r="B87" t="s">
        <v>489</v>
      </c>
      <c r="C87" t="s">
        <v>490</v>
      </c>
      <c r="D87" t="s">
        <v>490</v>
      </c>
      <c r="E87" t="s">
        <v>490</v>
      </c>
      <c r="F87" t="s">
        <v>490</v>
      </c>
      <c r="G87" t="s">
        <v>489</v>
      </c>
      <c r="H87" t="s">
        <v>490</v>
      </c>
      <c r="I87" t="s">
        <v>490</v>
      </c>
      <c r="J87" t="s">
        <v>489</v>
      </c>
      <c r="K87" t="s">
        <v>490</v>
      </c>
      <c r="L87" t="s">
        <v>490</v>
      </c>
      <c r="M87" t="s">
        <v>489</v>
      </c>
      <c r="N87" t="s">
        <v>490</v>
      </c>
      <c r="O87" t="s">
        <v>490</v>
      </c>
      <c r="P87" t="s">
        <v>489</v>
      </c>
    </row>
    <row r="88" spans="1:24">
      <c r="A88" t="s">
        <v>972</v>
      </c>
      <c r="B88" t="s">
        <v>489</v>
      </c>
      <c r="C88" t="s">
        <v>490</v>
      </c>
      <c r="D88" t="s">
        <v>490</v>
      </c>
      <c r="E88" t="s">
        <v>490</v>
      </c>
      <c r="F88" t="s">
        <v>490</v>
      </c>
      <c r="G88" t="s">
        <v>489</v>
      </c>
      <c r="H88" t="s">
        <v>490</v>
      </c>
      <c r="I88" t="s">
        <v>490</v>
      </c>
      <c r="J88" t="s">
        <v>489</v>
      </c>
      <c r="K88" t="s">
        <v>490</v>
      </c>
      <c r="L88" t="s">
        <v>490</v>
      </c>
      <c r="M88" t="s">
        <v>489</v>
      </c>
      <c r="N88" t="s">
        <v>490</v>
      </c>
      <c r="O88" t="s">
        <v>490</v>
      </c>
      <c r="P88" t="s">
        <v>489</v>
      </c>
    </row>
    <row r="89" spans="1:24">
      <c r="A89" t="s">
        <v>973</v>
      </c>
      <c r="B89" t="s">
        <v>489</v>
      </c>
      <c r="C89" t="s">
        <v>490</v>
      </c>
      <c r="D89" t="s">
        <v>490</v>
      </c>
      <c r="E89" t="s">
        <v>490</v>
      </c>
      <c r="F89" t="s">
        <v>490</v>
      </c>
      <c r="G89" t="s">
        <v>489</v>
      </c>
      <c r="H89" t="s">
        <v>490</v>
      </c>
      <c r="I89" t="s">
        <v>490</v>
      </c>
      <c r="J89" t="s">
        <v>489</v>
      </c>
      <c r="K89" t="s">
        <v>490</v>
      </c>
      <c r="L89" t="s">
        <v>490</v>
      </c>
      <c r="M89" t="s">
        <v>489</v>
      </c>
      <c r="N89" t="s">
        <v>490</v>
      </c>
      <c r="O89" t="s">
        <v>490</v>
      </c>
      <c r="P89" t="s">
        <v>489</v>
      </c>
    </row>
    <row r="90" spans="1:24">
      <c r="A90" t="s">
        <v>974</v>
      </c>
      <c r="B90" t="s">
        <v>490</v>
      </c>
      <c r="C90" t="s">
        <v>490</v>
      </c>
      <c r="D90" t="s">
        <v>489</v>
      </c>
      <c r="E90" t="s">
        <v>490</v>
      </c>
      <c r="F90" t="s">
        <v>490</v>
      </c>
      <c r="G90" t="s">
        <v>489</v>
      </c>
      <c r="H90" t="s">
        <v>490</v>
      </c>
      <c r="I90" t="s">
        <v>490</v>
      </c>
      <c r="J90" t="s">
        <v>489</v>
      </c>
      <c r="K90" t="s">
        <v>490</v>
      </c>
      <c r="L90" t="s">
        <v>490</v>
      </c>
      <c r="M90" t="s">
        <v>489</v>
      </c>
      <c r="N90" t="s">
        <v>490</v>
      </c>
      <c r="O90" t="s">
        <v>490</v>
      </c>
      <c r="P90" t="s">
        <v>489</v>
      </c>
    </row>
    <row r="91" spans="1:24">
      <c r="A91" t="s">
        <v>974</v>
      </c>
      <c r="B91" t="s">
        <v>490</v>
      </c>
      <c r="C91" t="s">
        <v>490</v>
      </c>
      <c r="D91" t="s">
        <v>489</v>
      </c>
      <c r="E91" t="s">
        <v>490</v>
      </c>
      <c r="F91" t="s">
        <v>490</v>
      </c>
      <c r="G91" t="s">
        <v>489</v>
      </c>
      <c r="H91" t="s">
        <v>490</v>
      </c>
      <c r="I91" t="s">
        <v>490</v>
      </c>
      <c r="J91" t="s">
        <v>489</v>
      </c>
      <c r="K91" t="s">
        <v>490</v>
      </c>
      <c r="L91" t="s">
        <v>490</v>
      </c>
      <c r="M91" t="s">
        <v>489</v>
      </c>
      <c r="N91" t="s">
        <v>490</v>
      </c>
      <c r="O91" t="s">
        <v>490</v>
      </c>
      <c r="P91" t="s">
        <v>489</v>
      </c>
    </row>
    <row r="93" spans="1:24">
      <c r="B93" t="s">
        <v>686</v>
      </c>
      <c r="C93" t="s">
        <v>665</v>
      </c>
      <c r="D93" t="s">
        <v>666</v>
      </c>
      <c r="E93" t="s">
        <v>687</v>
      </c>
      <c r="F93" t="s">
        <v>665</v>
      </c>
      <c r="G93" t="s">
        <v>666</v>
      </c>
      <c r="H93" t="s">
        <v>688</v>
      </c>
      <c r="I93" t="s">
        <v>665</v>
      </c>
      <c r="J93" t="s">
        <v>666</v>
      </c>
      <c r="K93" t="s">
        <v>689</v>
      </c>
      <c r="L93" t="s">
        <v>665</v>
      </c>
      <c r="M93" t="s">
        <v>666</v>
      </c>
      <c r="N93" t="s">
        <v>690</v>
      </c>
      <c r="O93" t="s">
        <v>665</v>
      </c>
      <c r="P93" t="s">
        <v>666</v>
      </c>
    </row>
    <row r="94" spans="1:24">
      <c r="A94" t="s">
        <v>489</v>
      </c>
      <c r="B94" s="25">
        <f>57/139</f>
        <v>0.41007194244604317</v>
      </c>
      <c r="C94" s="25">
        <f>27/139</f>
        <v>0.19424460431654678</v>
      </c>
      <c r="D94" s="38" t="s">
        <v>1293</v>
      </c>
      <c r="E94" s="25">
        <f>38/139</f>
        <v>0.2733812949640288</v>
      </c>
      <c r="F94" s="25">
        <f>15/139</f>
        <v>0.1079136690647482</v>
      </c>
      <c r="G94" s="38" t="s">
        <v>1293</v>
      </c>
      <c r="H94" s="38">
        <f>72/139</f>
        <v>0.51798561151079137</v>
      </c>
      <c r="I94" s="25">
        <f>33/139</f>
        <v>0.23741007194244604</v>
      </c>
      <c r="J94" s="38"/>
      <c r="K94" s="25">
        <f>58/139</f>
        <v>0.41726618705035973</v>
      </c>
      <c r="L94" s="25">
        <f>23/139</f>
        <v>0.16546762589928057</v>
      </c>
      <c r="M94" s="38"/>
      <c r="N94" s="25">
        <f>65/139</f>
        <v>0.46762589928057552</v>
      </c>
      <c r="O94" s="25">
        <f>25/139</f>
        <v>0.17985611510791366</v>
      </c>
      <c r="P94" s="38"/>
      <c r="Q94" s="25"/>
      <c r="R94" s="25"/>
      <c r="S94" s="38"/>
      <c r="T94" s="25"/>
      <c r="U94" s="25"/>
      <c r="V94" s="38"/>
      <c r="W94" s="25"/>
      <c r="X94" s="25"/>
    </row>
    <row r="96" spans="1:24">
      <c r="A96" t="s">
        <v>1216</v>
      </c>
    </row>
    <row r="97" spans="1:3">
      <c r="B97" t="s">
        <v>1394</v>
      </c>
      <c r="C97" t="s">
        <v>1395</v>
      </c>
    </row>
    <row r="98" spans="1:3">
      <c r="A98" t="s">
        <v>1320</v>
      </c>
      <c r="B98" s="15">
        <v>11</v>
      </c>
      <c r="C98" s="15">
        <v>27</v>
      </c>
    </row>
    <row r="99" spans="1:3">
      <c r="A99" t="s">
        <v>1324</v>
      </c>
      <c r="B99" s="15">
        <v>19</v>
      </c>
      <c r="C99" s="15">
        <v>41</v>
      </c>
    </row>
    <row r="100" spans="1:3">
      <c r="A100" t="s">
        <v>1322</v>
      </c>
      <c r="B100" s="15">
        <v>17</v>
      </c>
      <c r="C100" s="15">
        <v>42</v>
      </c>
    </row>
    <row r="101" spans="1:3">
      <c r="A101" t="s">
        <v>1323</v>
      </c>
      <c r="B101" s="15">
        <v>18</v>
      </c>
      <c r="C101" s="15">
        <v>47</v>
      </c>
    </row>
    <row r="102" spans="1:3">
      <c r="A102" t="s">
        <v>1321</v>
      </c>
      <c r="B102" s="15">
        <v>24</v>
      </c>
      <c r="C102" s="15">
        <v>52</v>
      </c>
    </row>
    <row r="103" spans="1:3">
      <c r="B103" s="15"/>
      <c r="C103" s="15"/>
    </row>
    <row r="104" spans="1:3">
      <c r="B104" s="15"/>
      <c r="C104" s="65"/>
    </row>
    <row r="105" spans="1:3">
      <c r="B105" s="15"/>
      <c r="C105" s="15"/>
    </row>
  </sheetData>
  <sortState ref="A6:P91">
    <sortCondition ref="O6:O91"/>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P31"/>
  <sheetViews>
    <sheetView workbookViewId="0"/>
  </sheetViews>
  <sheetFormatPr defaultRowHeight="14.4"/>
  <cols>
    <col min="1" max="1" width="17.33203125" customWidth="1"/>
    <col min="4" max="4" width="4" customWidth="1"/>
  </cols>
  <sheetData>
    <row r="1" spans="1:7">
      <c r="A1" s="3" t="s">
        <v>1304</v>
      </c>
    </row>
    <row r="2" spans="1:7">
      <c r="A2" t="s">
        <v>1325</v>
      </c>
    </row>
    <row r="4" spans="1:7">
      <c r="A4" t="s">
        <v>1216</v>
      </c>
    </row>
    <row r="5" spans="1:7">
      <c r="B5" t="s">
        <v>691</v>
      </c>
      <c r="C5" t="s">
        <v>665</v>
      </c>
      <c r="D5" t="s">
        <v>666</v>
      </c>
      <c r="E5" t="s">
        <v>692</v>
      </c>
      <c r="F5" t="s">
        <v>665</v>
      </c>
      <c r="G5" t="s">
        <v>666</v>
      </c>
    </row>
    <row r="6" spans="1:7">
      <c r="A6" t="s">
        <v>972</v>
      </c>
      <c r="B6" t="s">
        <v>489</v>
      </c>
      <c r="C6" t="s">
        <v>489</v>
      </c>
      <c r="D6" t="s">
        <v>490</v>
      </c>
      <c r="E6" t="s">
        <v>489</v>
      </c>
      <c r="F6" t="s">
        <v>489</v>
      </c>
      <c r="G6" t="s">
        <v>490</v>
      </c>
    </row>
    <row r="7" spans="1:7">
      <c r="A7" t="s">
        <v>972</v>
      </c>
      <c r="B7" t="s">
        <v>489</v>
      </c>
      <c r="C7" t="s">
        <v>489</v>
      </c>
      <c r="D7" t="s">
        <v>490</v>
      </c>
      <c r="E7" t="s">
        <v>489</v>
      </c>
      <c r="F7" t="s">
        <v>489</v>
      </c>
      <c r="G7" t="s">
        <v>490</v>
      </c>
    </row>
    <row r="8" spans="1:7">
      <c r="A8" t="s">
        <v>972</v>
      </c>
      <c r="B8" t="s">
        <v>489</v>
      </c>
      <c r="C8" t="s">
        <v>489</v>
      </c>
      <c r="D8" t="s">
        <v>490</v>
      </c>
      <c r="E8" t="s">
        <v>489</v>
      </c>
      <c r="F8" t="s">
        <v>489</v>
      </c>
      <c r="G8" t="s">
        <v>490</v>
      </c>
    </row>
    <row r="9" spans="1:7">
      <c r="A9" t="s">
        <v>972</v>
      </c>
      <c r="B9" t="s">
        <v>489</v>
      </c>
      <c r="C9" t="s">
        <v>489</v>
      </c>
      <c r="D9" t="s">
        <v>490</v>
      </c>
      <c r="E9" t="s">
        <v>489</v>
      </c>
      <c r="F9" t="s">
        <v>489</v>
      </c>
      <c r="G9" t="s">
        <v>490</v>
      </c>
    </row>
    <row r="10" spans="1:7">
      <c r="A10" t="s">
        <v>972</v>
      </c>
      <c r="B10" t="s">
        <v>489</v>
      </c>
      <c r="C10" t="s">
        <v>489</v>
      </c>
      <c r="D10" t="s">
        <v>490</v>
      </c>
      <c r="E10" t="s">
        <v>489</v>
      </c>
      <c r="F10" t="s">
        <v>489</v>
      </c>
      <c r="G10" t="s">
        <v>490</v>
      </c>
    </row>
    <row r="11" spans="1:7">
      <c r="A11" t="s">
        <v>972</v>
      </c>
      <c r="B11" t="s">
        <v>490</v>
      </c>
      <c r="C11" t="s">
        <v>490</v>
      </c>
      <c r="D11" t="s">
        <v>489</v>
      </c>
      <c r="E11" t="s">
        <v>489</v>
      </c>
      <c r="F11" t="s">
        <v>489</v>
      </c>
      <c r="G11" t="s">
        <v>490</v>
      </c>
    </row>
    <row r="12" spans="1:7">
      <c r="A12" t="s">
        <v>954</v>
      </c>
      <c r="B12" t="s">
        <v>489</v>
      </c>
      <c r="C12" t="s">
        <v>490</v>
      </c>
      <c r="D12" t="s">
        <v>490</v>
      </c>
      <c r="E12" t="s">
        <v>489</v>
      </c>
      <c r="F12" t="s">
        <v>490</v>
      </c>
      <c r="G12" t="s">
        <v>490</v>
      </c>
    </row>
    <row r="13" spans="1:7">
      <c r="A13" t="s">
        <v>972</v>
      </c>
      <c r="B13" t="s">
        <v>489</v>
      </c>
      <c r="C13" t="s">
        <v>490</v>
      </c>
      <c r="D13" t="s">
        <v>490</v>
      </c>
      <c r="E13" t="s">
        <v>489</v>
      </c>
      <c r="F13" t="s">
        <v>490</v>
      </c>
      <c r="G13" t="s">
        <v>490</v>
      </c>
    </row>
    <row r="14" spans="1:7">
      <c r="A14" t="s">
        <v>972</v>
      </c>
      <c r="B14" t="s">
        <v>489</v>
      </c>
      <c r="C14" t="s">
        <v>490</v>
      </c>
      <c r="D14" t="s">
        <v>490</v>
      </c>
      <c r="E14" t="s">
        <v>489</v>
      </c>
      <c r="F14" t="s">
        <v>490</v>
      </c>
      <c r="G14" t="s">
        <v>490</v>
      </c>
    </row>
    <row r="15" spans="1:7">
      <c r="A15" t="s">
        <v>972</v>
      </c>
      <c r="B15" t="s">
        <v>489</v>
      </c>
      <c r="C15" t="s">
        <v>490</v>
      </c>
      <c r="D15" t="s">
        <v>490</v>
      </c>
      <c r="E15" t="s">
        <v>489</v>
      </c>
      <c r="F15" t="s">
        <v>490</v>
      </c>
      <c r="G15" t="s">
        <v>490</v>
      </c>
    </row>
    <row r="16" spans="1:7">
      <c r="A16" t="s">
        <v>972</v>
      </c>
      <c r="B16" t="s">
        <v>489</v>
      </c>
      <c r="C16" t="s">
        <v>490</v>
      </c>
      <c r="D16" t="s">
        <v>490</v>
      </c>
      <c r="E16" t="s">
        <v>489</v>
      </c>
      <c r="F16" t="s">
        <v>490</v>
      </c>
      <c r="G16" t="s">
        <v>490</v>
      </c>
    </row>
    <row r="17" spans="1:16">
      <c r="A17" t="s">
        <v>972</v>
      </c>
      <c r="B17" t="s">
        <v>490</v>
      </c>
      <c r="C17" t="s">
        <v>490</v>
      </c>
      <c r="D17" t="s">
        <v>489</v>
      </c>
      <c r="E17" t="s">
        <v>489</v>
      </c>
      <c r="F17" t="s">
        <v>490</v>
      </c>
      <c r="G17" t="s">
        <v>490</v>
      </c>
    </row>
    <row r="18" spans="1:16">
      <c r="A18" t="s">
        <v>972</v>
      </c>
      <c r="B18" t="s">
        <v>490</v>
      </c>
      <c r="C18" t="s">
        <v>490</v>
      </c>
      <c r="D18" t="s">
        <v>489</v>
      </c>
      <c r="E18" t="s">
        <v>489</v>
      </c>
      <c r="F18" t="s">
        <v>490</v>
      </c>
      <c r="G18" t="s">
        <v>490</v>
      </c>
    </row>
    <row r="19" spans="1:16">
      <c r="A19" t="s">
        <v>972</v>
      </c>
      <c r="B19" t="s">
        <v>489</v>
      </c>
      <c r="C19" t="s">
        <v>490</v>
      </c>
      <c r="D19" t="s">
        <v>490</v>
      </c>
      <c r="E19" t="s">
        <v>490</v>
      </c>
      <c r="F19" t="s">
        <v>490</v>
      </c>
      <c r="G19" t="s">
        <v>489</v>
      </c>
    </row>
    <row r="20" spans="1:16">
      <c r="A20" t="s">
        <v>972</v>
      </c>
      <c r="B20" t="s">
        <v>489</v>
      </c>
      <c r="C20" t="s">
        <v>490</v>
      </c>
      <c r="D20" t="s">
        <v>490</v>
      </c>
      <c r="E20" t="s">
        <v>490</v>
      </c>
      <c r="F20" t="s">
        <v>490</v>
      </c>
      <c r="G20" t="s">
        <v>489</v>
      </c>
    </row>
    <row r="21" spans="1:16">
      <c r="A21" t="s">
        <v>972</v>
      </c>
      <c r="B21" t="s">
        <v>489</v>
      </c>
      <c r="C21" t="s">
        <v>490</v>
      </c>
      <c r="D21" t="s">
        <v>490</v>
      </c>
      <c r="E21" t="s">
        <v>490</v>
      </c>
      <c r="F21" t="s">
        <v>490</v>
      </c>
      <c r="G21" t="s">
        <v>489</v>
      </c>
    </row>
    <row r="22" spans="1:16">
      <c r="A22" t="s">
        <v>972</v>
      </c>
      <c r="B22" t="s">
        <v>489</v>
      </c>
      <c r="C22" t="s">
        <v>490</v>
      </c>
      <c r="D22" t="s">
        <v>490</v>
      </c>
      <c r="E22" t="s">
        <v>490</v>
      </c>
      <c r="F22" t="s">
        <v>490</v>
      </c>
      <c r="G22" t="s">
        <v>489</v>
      </c>
    </row>
    <row r="23" spans="1:16">
      <c r="A23" t="s">
        <v>974</v>
      </c>
      <c r="B23" t="s">
        <v>490</v>
      </c>
      <c r="C23" t="s">
        <v>490</v>
      </c>
      <c r="D23" t="s">
        <v>489</v>
      </c>
      <c r="E23" t="s">
        <v>490</v>
      </c>
      <c r="F23" t="s">
        <v>490</v>
      </c>
      <c r="G23" t="s">
        <v>489</v>
      </c>
    </row>
    <row r="25" spans="1:16">
      <c r="B25" t="s">
        <v>691</v>
      </c>
      <c r="C25" t="s">
        <v>665</v>
      </c>
      <c r="D25" t="s">
        <v>666</v>
      </c>
      <c r="E25" t="s">
        <v>692</v>
      </c>
      <c r="F25" t="s">
        <v>665</v>
      </c>
      <c r="G25" t="s">
        <v>666</v>
      </c>
    </row>
    <row r="26" spans="1:16">
      <c r="A26" t="s">
        <v>489</v>
      </c>
      <c r="B26" s="25">
        <f>14/139</f>
        <v>0.10071942446043165</v>
      </c>
      <c r="C26" s="25">
        <f>5/139</f>
        <v>3.5971223021582732E-2</v>
      </c>
      <c r="D26" s="38"/>
      <c r="E26" s="25">
        <f>13/139</f>
        <v>9.3525179856115109E-2</v>
      </c>
      <c r="F26" s="25">
        <f>6/139</f>
        <v>4.3165467625899283E-2</v>
      </c>
      <c r="G26" s="38"/>
      <c r="H26" s="38"/>
      <c r="I26" s="25"/>
      <c r="J26" s="38"/>
      <c r="K26" s="25"/>
      <c r="L26" s="25"/>
      <c r="M26" s="38"/>
      <c r="N26" s="25"/>
      <c r="O26" s="25"/>
      <c r="P26" s="38"/>
    </row>
    <row r="28" spans="1:16">
      <c r="A28" t="s">
        <v>1216</v>
      </c>
    </row>
    <row r="29" spans="1:16">
      <c r="B29" t="s">
        <v>1394</v>
      </c>
      <c r="C29" t="s">
        <v>1395</v>
      </c>
    </row>
    <row r="30" spans="1:16">
      <c r="A30" t="s">
        <v>1327</v>
      </c>
      <c r="B30" s="15">
        <v>4</v>
      </c>
      <c r="C30" s="15">
        <v>9</v>
      </c>
    </row>
    <row r="31" spans="1:16">
      <c r="A31" t="s">
        <v>1326</v>
      </c>
      <c r="B31" s="15">
        <v>4</v>
      </c>
      <c r="C31" s="15">
        <v>10</v>
      </c>
    </row>
  </sheetData>
  <sortState ref="A6:G23">
    <sortCondition ref="F6:F23"/>
  </sortState>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Q54"/>
  <sheetViews>
    <sheetView workbookViewId="0"/>
  </sheetViews>
  <sheetFormatPr defaultRowHeight="14.4"/>
  <cols>
    <col min="1" max="1" width="17.44140625" customWidth="1"/>
    <col min="2" max="2" width="11.5546875" customWidth="1"/>
    <col min="4" max="4" width="4.33203125" customWidth="1"/>
    <col min="7" max="7" width="4.5546875" customWidth="1"/>
    <col min="10" max="10" width="2.88671875" customWidth="1"/>
  </cols>
  <sheetData>
    <row r="1" spans="1:13">
      <c r="A1" s="3" t="s">
        <v>1304</v>
      </c>
    </row>
    <row r="2" spans="1:13">
      <c r="A2" t="s">
        <v>1328</v>
      </c>
    </row>
    <row r="4" spans="1:13">
      <c r="A4" t="s">
        <v>1216</v>
      </c>
    </row>
    <row r="5" spans="1:13">
      <c r="B5" t="s">
        <v>693</v>
      </c>
      <c r="C5" t="s">
        <v>665</v>
      </c>
      <c r="D5" t="s">
        <v>666</v>
      </c>
      <c r="E5" t="s">
        <v>694</v>
      </c>
      <c r="F5" t="s">
        <v>665</v>
      </c>
      <c r="G5" t="s">
        <v>666</v>
      </c>
      <c r="H5" t="s">
        <v>695</v>
      </c>
      <c r="I5" t="s">
        <v>665</v>
      </c>
      <c r="J5" t="s">
        <v>666</v>
      </c>
      <c r="K5" t="s">
        <v>696</v>
      </c>
      <c r="L5" t="s">
        <v>665</v>
      </c>
      <c r="M5" t="s">
        <v>666</v>
      </c>
    </row>
    <row r="6" spans="1:13">
      <c r="A6" t="s">
        <v>972</v>
      </c>
      <c r="B6" t="s">
        <v>490</v>
      </c>
      <c r="C6" t="s">
        <v>490</v>
      </c>
      <c r="D6" t="s">
        <v>489</v>
      </c>
      <c r="E6" t="s">
        <v>489</v>
      </c>
      <c r="F6" t="s">
        <v>489</v>
      </c>
      <c r="G6" t="s">
        <v>490</v>
      </c>
      <c r="H6" t="s">
        <v>489</v>
      </c>
      <c r="I6" t="s">
        <v>489</v>
      </c>
      <c r="J6" t="s">
        <v>490</v>
      </c>
      <c r="K6" t="s">
        <v>489</v>
      </c>
      <c r="L6" t="s">
        <v>489</v>
      </c>
      <c r="M6" t="s">
        <v>490</v>
      </c>
    </row>
    <row r="7" spans="1:13">
      <c r="A7" t="s">
        <v>972</v>
      </c>
      <c r="B7" t="s">
        <v>489</v>
      </c>
      <c r="C7" t="s">
        <v>489</v>
      </c>
      <c r="D7" t="s">
        <v>490</v>
      </c>
      <c r="E7" t="s">
        <v>489</v>
      </c>
      <c r="F7" t="s">
        <v>489</v>
      </c>
      <c r="G7" t="s">
        <v>490</v>
      </c>
      <c r="H7" t="s">
        <v>490</v>
      </c>
      <c r="I7" t="s">
        <v>490</v>
      </c>
      <c r="J7" t="s">
        <v>489</v>
      </c>
      <c r="K7" t="s">
        <v>489</v>
      </c>
      <c r="L7" t="s">
        <v>489</v>
      </c>
      <c r="M7" t="s">
        <v>490</v>
      </c>
    </row>
    <row r="8" spans="1:13">
      <c r="A8" t="s">
        <v>972</v>
      </c>
      <c r="B8" t="s">
        <v>489</v>
      </c>
      <c r="C8" t="s">
        <v>489</v>
      </c>
      <c r="D8" t="s">
        <v>490</v>
      </c>
      <c r="E8" t="s">
        <v>489</v>
      </c>
      <c r="F8" t="s">
        <v>489</v>
      </c>
      <c r="G8" t="s">
        <v>490</v>
      </c>
      <c r="H8" t="s">
        <v>490</v>
      </c>
      <c r="I8" t="s">
        <v>490</v>
      </c>
      <c r="J8" t="s">
        <v>489</v>
      </c>
      <c r="K8" t="s">
        <v>489</v>
      </c>
      <c r="L8" t="s">
        <v>489</v>
      </c>
      <c r="M8" t="s">
        <v>490</v>
      </c>
    </row>
    <row r="9" spans="1:13">
      <c r="A9" t="s">
        <v>972</v>
      </c>
      <c r="B9" t="s">
        <v>490</v>
      </c>
      <c r="C9" t="s">
        <v>489</v>
      </c>
      <c r="D9" t="s">
        <v>490</v>
      </c>
      <c r="E9" t="s">
        <v>490</v>
      </c>
      <c r="F9" t="s">
        <v>490</v>
      </c>
      <c r="G9" t="s">
        <v>489</v>
      </c>
      <c r="H9" t="s">
        <v>490</v>
      </c>
      <c r="I9" t="s">
        <v>490</v>
      </c>
      <c r="J9" t="s">
        <v>489</v>
      </c>
      <c r="K9" t="s">
        <v>490</v>
      </c>
      <c r="L9" t="s">
        <v>489</v>
      </c>
      <c r="M9" t="s">
        <v>490</v>
      </c>
    </row>
    <row r="10" spans="1:13">
      <c r="A10" t="s">
        <v>972</v>
      </c>
      <c r="B10" t="s">
        <v>489</v>
      </c>
      <c r="C10" t="s">
        <v>490</v>
      </c>
      <c r="D10" t="s">
        <v>490</v>
      </c>
      <c r="E10" t="s">
        <v>489</v>
      </c>
      <c r="F10" t="s">
        <v>490</v>
      </c>
      <c r="G10" t="s">
        <v>490</v>
      </c>
      <c r="H10" t="s">
        <v>489</v>
      </c>
      <c r="I10" t="s">
        <v>490</v>
      </c>
      <c r="J10" t="s">
        <v>490</v>
      </c>
      <c r="K10" t="s">
        <v>489</v>
      </c>
      <c r="L10" t="s">
        <v>490</v>
      </c>
      <c r="M10" t="s">
        <v>490</v>
      </c>
    </row>
    <row r="11" spans="1:13">
      <c r="A11" t="s">
        <v>972</v>
      </c>
      <c r="B11" t="s">
        <v>489</v>
      </c>
      <c r="C11" t="s">
        <v>490</v>
      </c>
      <c r="D11" t="s">
        <v>490</v>
      </c>
      <c r="E11" t="s">
        <v>490</v>
      </c>
      <c r="F11" t="s">
        <v>490</v>
      </c>
      <c r="G11" t="s">
        <v>489</v>
      </c>
      <c r="H11" t="s">
        <v>489</v>
      </c>
      <c r="I11" t="s">
        <v>490</v>
      </c>
      <c r="J11" t="s">
        <v>490</v>
      </c>
      <c r="K11" t="s">
        <v>489</v>
      </c>
      <c r="L11" t="s">
        <v>490</v>
      </c>
      <c r="M11" t="s">
        <v>490</v>
      </c>
    </row>
    <row r="12" spans="1:13">
      <c r="A12" t="s">
        <v>974</v>
      </c>
      <c r="B12" t="s">
        <v>489</v>
      </c>
      <c r="C12" t="s">
        <v>490</v>
      </c>
      <c r="D12" t="s">
        <v>490</v>
      </c>
      <c r="E12" t="s">
        <v>489</v>
      </c>
      <c r="F12" t="s">
        <v>490</v>
      </c>
      <c r="G12" t="s">
        <v>490</v>
      </c>
      <c r="H12" t="s">
        <v>490</v>
      </c>
      <c r="I12" t="s">
        <v>490</v>
      </c>
      <c r="J12" t="s">
        <v>489</v>
      </c>
      <c r="K12" t="s">
        <v>489</v>
      </c>
      <c r="L12" t="s">
        <v>490</v>
      </c>
      <c r="M12" t="s">
        <v>490</v>
      </c>
    </row>
    <row r="13" spans="1:13">
      <c r="A13" t="s">
        <v>972</v>
      </c>
      <c r="B13" t="s">
        <v>489</v>
      </c>
      <c r="C13" t="s">
        <v>490</v>
      </c>
      <c r="D13" t="s">
        <v>490</v>
      </c>
      <c r="E13" t="s">
        <v>489</v>
      </c>
      <c r="F13" t="s">
        <v>490</v>
      </c>
      <c r="G13" t="s">
        <v>490</v>
      </c>
      <c r="H13" t="s">
        <v>490</v>
      </c>
      <c r="I13" t="s">
        <v>490</v>
      </c>
      <c r="J13" t="s">
        <v>489</v>
      </c>
      <c r="K13" t="s">
        <v>489</v>
      </c>
      <c r="L13" t="s">
        <v>490</v>
      </c>
      <c r="M13" t="s">
        <v>490</v>
      </c>
    </row>
    <row r="14" spans="1:13">
      <c r="A14" t="s">
        <v>972</v>
      </c>
      <c r="B14" t="s">
        <v>489</v>
      </c>
      <c r="C14" t="s">
        <v>490</v>
      </c>
      <c r="D14" t="s">
        <v>490</v>
      </c>
      <c r="E14" t="s">
        <v>490</v>
      </c>
      <c r="F14" t="s">
        <v>490</v>
      </c>
      <c r="G14" t="s">
        <v>489</v>
      </c>
      <c r="H14" t="s">
        <v>490</v>
      </c>
      <c r="I14" t="s">
        <v>490</v>
      </c>
      <c r="J14" t="s">
        <v>489</v>
      </c>
      <c r="K14" t="s">
        <v>489</v>
      </c>
      <c r="L14" t="s">
        <v>490</v>
      </c>
      <c r="M14" t="s">
        <v>490</v>
      </c>
    </row>
    <row r="15" spans="1:13">
      <c r="A15" t="s">
        <v>972</v>
      </c>
      <c r="B15" t="s">
        <v>489</v>
      </c>
      <c r="C15" t="s">
        <v>490</v>
      </c>
      <c r="D15" t="s">
        <v>490</v>
      </c>
      <c r="E15" t="s">
        <v>490</v>
      </c>
      <c r="F15" t="s">
        <v>490</v>
      </c>
      <c r="G15" t="s">
        <v>489</v>
      </c>
      <c r="H15" t="s">
        <v>490</v>
      </c>
      <c r="I15" t="s">
        <v>490</v>
      </c>
      <c r="J15" t="s">
        <v>489</v>
      </c>
      <c r="K15" t="s">
        <v>489</v>
      </c>
      <c r="L15" t="s">
        <v>490</v>
      </c>
      <c r="M15" t="s">
        <v>490</v>
      </c>
    </row>
    <row r="16" spans="1:13">
      <c r="A16" t="s">
        <v>972</v>
      </c>
      <c r="B16" t="s">
        <v>489</v>
      </c>
      <c r="C16" t="s">
        <v>490</v>
      </c>
      <c r="D16" t="s">
        <v>490</v>
      </c>
      <c r="E16" t="s">
        <v>490</v>
      </c>
      <c r="F16" t="s">
        <v>490</v>
      </c>
      <c r="G16" t="s">
        <v>489</v>
      </c>
      <c r="H16" t="s">
        <v>490</v>
      </c>
      <c r="I16" t="s">
        <v>490</v>
      </c>
      <c r="J16" t="s">
        <v>489</v>
      </c>
      <c r="K16" t="s">
        <v>489</v>
      </c>
      <c r="L16" t="s">
        <v>490</v>
      </c>
      <c r="M16" t="s">
        <v>490</v>
      </c>
    </row>
    <row r="17" spans="1:13">
      <c r="A17" t="s">
        <v>972</v>
      </c>
      <c r="B17" t="s">
        <v>489</v>
      </c>
      <c r="C17" t="s">
        <v>490</v>
      </c>
      <c r="D17" t="s">
        <v>490</v>
      </c>
      <c r="E17" t="s">
        <v>490</v>
      </c>
      <c r="F17" t="s">
        <v>490</v>
      </c>
      <c r="G17" t="s">
        <v>489</v>
      </c>
      <c r="H17" t="s">
        <v>490</v>
      </c>
      <c r="I17" t="s">
        <v>490</v>
      </c>
      <c r="J17" t="s">
        <v>489</v>
      </c>
      <c r="K17" t="s">
        <v>489</v>
      </c>
      <c r="L17" t="s">
        <v>490</v>
      </c>
      <c r="M17" t="s">
        <v>490</v>
      </c>
    </row>
    <row r="18" spans="1:13">
      <c r="A18" t="s">
        <v>972</v>
      </c>
      <c r="B18" t="s">
        <v>489</v>
      </c>
      <c r="C18" t="s">
        <v>490</v>
      </c>
      <c r="D18" t="s">
        <v>490</v>
      </c>
      <c r="E18" t="s">
        <v>490</v>
      </c>
      <c r="F18" t="s">
        <v>490</v>
      </c>
      <c r="G18" t="s">
        <v>489</v>
      </c>
      <c r="H18" t="s">
        <v>490</v>
      </c>
      <c r="I18" t="s">
        <v>490</v>
      </c>
      <c r="J18" t="s">
        <v>489</v>
      </c>
      <c r="K18" t="s">
        <v>489</v>
      </c>
      <c r="L18" t="s">
        <v>490</v>
      </c>
      <c r="M18" t="s">
        <v>490</v>
      </c>
    </row>
    <row r="19" spans="1:13">
      <c r="A19" t="s">
        <v>972</v>
      </c>
      <c r="B19" t="s">
        <v>490</v>
      </c>
      <c r="C19" t="s">
        <v>490</v>
      </c>
      <c r="D19" t="s">
        <v>489</v>
      </c>
      <c r="E19" t="s">
        <v>490</v>
      </c>
      <c r="F19" t="s">
        <v>490</v>
      </c>
      <c r="G19" t="s">
        <v>489</v>
      </c>
      <c r="H19" t="s">
        <v>490</v>
      </c>
      <c r="I19" t="s">
        <v>490</v>
      </c>
      <c r="J19" t="s">
        <v>489</v>
      </c>
      <c r="K19" t="s">
        <v>489</v>
      </c>
      <c r="L19" t="s">
        <v>490</v>
      </c>
      <c r="M19" t="s">
        <v>490</v>
      </c>
    </row>
    <row r="20" spans="1:13">
      <c r="A20" t="s">
        <v>972</v>
      </c>
      <c r="B20" t="s">
        <v>490</v>
      </c>
      <c r="C20" t="s">
        <v>490</v>
      </c>
      <c r="D20" t="s">
        <v>489</v>
      </c>
      <c r="E20" t="s">
        <v>490</v>
      </c>
      <c r="F20" t="s">
        <v>490</v>
      </c>
      <c r="G20" t="s">
        <v>489</v>
      </c>
      <c r="H20" t="s">
        <v>490</v>
      </c>
      <c r="I20" t="s">
        <v>490</v>
      </c>
      <c r="J20" t="s">
        <v>489</v>
      </c>
      <c r="K20" t="s">
        <v>489</v>
      </c>
      <c r="L20" t="s">
        <v>490</v>
      </c>
      <c r="M20" t="s">
        <v>490</v>
      </c>
    </row>
    <row r="21" spans="1:13">
      <c r="A21" t="s">
        <v>972</v>
      </c>
      <c r="B21" t="s">
        <v>490</v>
      </c>
      <c r="C21" t="s">
        <v>490</v>
      </c>
      <c r="D21" t="s">
        <v>489</v>
      </c>
      <c r="E21" t="s">
        <v>490</v>
      </c>
      <c r="F21" t="s">
        <v>490</v>
      </c>
      <c r="G21" t="s">
        <v>489</v>
      </c>
      <c r="H21" t="s">
        <v>490</v>
      </c>
      <c r="I21" t="s">
        <v>490</v>
      </c>
      <c r="J21" t="s">
        <v>489</v>
      </c>
      <c r="K21" t="s">
        <v>489</v>
      </c>
      <c r="L21" t="s">
        <v>490</v>
      </c>
      <c r="M21" t="s">
        <v>490</v>
      </c>
    </row>
    <row r="22" spans="1:13">
      <c r="A22" t="s">
        <v>972</v>
      </c>
      <c r="B22" t="s">
        <v>490</v>
      </c>
      <c r="C22" t="s">
        <v>490</v>
      </c>
      <c r="D22" t="s">
        <v>489</v>
      </c>
      <c r="E22" t="s">
        <v>490</v>
      </c>
      <c r="F22" t="s">
        <v>490</v>
      </c>
      <c r="G22" t="s">
        <v>489</v>
      </c>
      <c r="H22" t="s">
        <v>490</v>
      </c>
      <c r="I22" t="s">
        <v>490</v>
      </c>
      <c r="J22" t="s">
        <v>489</v>
      </c>
      <c r="K22" t="s">
        <v>489</v>
      </c>
      <c r="L22" t="s">
        <v>490</v>
      </c>
      <c r="M22" t="s">
        <v>490</v>
      </c>
    </row>
    <row r="23" spans="1:13">
      <c r="A23" t="s">
        <v>954</v>
      </c>
      <c r="B23" t="s">
        <v>490</v>
      </c>
      <c r="C23" t="s">
        <v>490</v>
      </c>
      <c r="D23" t="s">
        <v>489</v>
      </c>
      <c r="E23" t="s">
        <v>490</v>
      </c>
      <c r="F23" t="s">
        <v>490</v>
      </c>
      <c r="G23" t="s">
        <v>489</v>
      </c>
      <c r="H23" t="s">
        <v>490</v>
      </c>
      <c r="I23" t="s">
        <v>489</v>
      </c>
      <c r="J23" t="s">
        <v>490</v>
      </c>
      <c r="K23" t="s">
        <v>490</v>
      </c>
      <c r="L23" t="s">
        <v>490</v>
      </c>
      <c r="M23" t="s">
        <v>489</v>
      </c>
    </row>
    <row r="24" spans="1:13">
      <c r="A24" t="s">
        <v>972</v>
      </c>
      <c r="B24" t="s">
        <v>490</v>
      </c>
      <c r="C24" t="s">
        <v>490</v>
      </c>
      <c r="D24" t="s">
        <v>489</v>
      </c>
      <c r="E24" t="s">
        <v>490</v>
      </c>
      <c r="F24" t="s">
        <v>490</v>
      </c>
      <c r="G24" t="s">
        <v>489</v>
      </c>
      <c r="H24" t="s">
        <v>489</v>
      </c>
      <c r="I24" t="s">
        <v>490</v>
      </c>
      <c r="J24" t="s">
        <v>490</v>
      </c>
      <c r="K24" t="s">
        <v>490</v>
      </c>
      <c r="L24" t="s">
        <v>490</v>
      </c>
      <c r="M24" t="s">
        <v>489</v>
      </c>
    </row>
    <row r="25" spans="1:13">
      <c r="A25" t="s">
        <v>972</v>
      </c>
      <c r="B25" t="s">
        <v>489</v>
      </c>
      <c r="C25" t="s">
        <v>490</v>
      </c>
      <c r="D25" t="s">
        <v>490</v>
      </c>
      <c r="E25" t="s">
        <v>489</v>
      </c>
      <c r="F25" t="s">
        <v>490</v>
      </c>
      <c r="G25" t="s">
        <v>490</v>
      </c>
      <c r="H25" t="s">
        <v>490</v>
      </c>
      <c r="I25" t="s">
        <v>490</v>
      </c>
      <c r="J25" t="s">
        <v>489</v>
      </c>
      <c r="K25" t="s">
        <v>490</v>
      </c>
      <c r="L25" t="s">
        <v>490</v>
      </c>
      <c r="M25" t="s">
        <v>489</v>
      </c>
    </row>
    <row r="26" spans="1:13">
      <c r="A26" t="s">
        <v>973</v>
      </c>
      <c r="B26" t="s">
        <v>489</v>
      </c>
      <c r="C26" t="s">
        <v>489</v>
      </c>
      <c r="D26" t="s">
        <v>490</v>
      </c>
      <c r="E26" t="s">
        <v>490</v>
      </c>
      <c r="F26" t="s">
        <v>490</v>
      </c>
      <c r="G26" t="s">
        <v>489</v>
      </c>
      <c r="H26" t="s">
        <v>490</v>
      </c>
      <c r="I26" t="s">
        <v>490</v>
      </c>
      <c r="J26" t="s">
        <v>489</v>
      </c>
      <c r="K26" t="s">
        <v>490</v>
      </c>
      <c r="L26" t="s">
        <v>490</v>
      </c>
      <c r="M26" t="s">
        <v>489</v>
      </c>
    </row>
    <row r="27" spans="1:13">
      <c r="A27" t="s">
        <v>972</v>
      </c>
      <c r="B27" t="s">
        <v>489</v>
      </c>
      <c r="C27" t="s">
        <v>489</v>
      </c>
      <c r="D27" t="s">
        <v>490</v>
      </c>
      <c r="E27" t="s">
        <v>490</v>
      </c>
      <c r="F27" t="s">
        <v>490</v>
      </c>
      <c r="G27" t="s">
        <v>489</v>
      </c>
      <c r="H27" t="s">
        <v>490</v>
      </c>
      <c r="I27" t="s">
        <v>490</v>
      </c>
      <c r="J27" t="s">
        <v>489</v>
      </c>
      <c r="K27" t="s">
        <v>490</v>
      </c>
      <c r="L27" t="s">
        <v>490</v>
      </c>
      <c r="M27" t="s">
        <v>489</v>
      </c>
    </row>
    <row r="28" spans="1:13">
      <c r="A28" t="s">
        <v>973</v>
      </c>
      <c r="B28" t="s">
        <v>489</v>
      </c>
      <c r="C28" t="s">
        <v>490</v>
      </c>
      <c r="D28" t="s">
        <v>490</v>
      </c>
      <c r="E28" t="s">
        <v>490</v>
      </c>
      <c r="F28" t="s">
        <v>490</v>
      </c>
      <c r="G28" t="s">
        <v>489</v>
      </c>
      <c r="H28" t="s">
        <v>490</v>
      </c>
      <c r="I28" t="s">
        <v>490</v>
      </c>
      <c r="J28" t="s">
        <v>489</v>
      </c>
      <c r="K28" t="s">
        <v>490</v>
      </c>
      <c r="L28" t="s">
        <v>490</v>
      </c>
      <c r="M28" t="s">
        <v>489</v>
      </c>
    </row>
    <row r="29" spans="1:13">
      <c r="A29" t="s">
        <v>972</v>
      </c>
      <c r="B29" t="s">
        <v>489</v>
      </c>
      <c r="C29" t="s">
        <v>490</v>
      </c>
      <c r="D29" t="s">
        <v>490</v>
      </c>
      <c r="E29" t="s">
        <v>490</v>
      </c>
      <c r="F29" t="s">
        <v>490</v>
      </c>
      <c r="G29" t="s">
        <v>489</v>
      </c>
      <c r="H29" t="s">
        <v>490</v>
      </c>
      <c r="I29" t="s">
        <v>490</v>
      </c>
      <c r="J29" t="s">
        <v>489</v>
      </c>
      <c r="K29" t="s">
        <v>490</v>
      </c>
      <c r="L29" t="s">
        <v>490</v>
      </c>
      <c r="M29" t="s">
        <v>489</v>
      </c>
    </row>
    <row r="30" spans="1:13">
      <c r="A30" t="s">
        <v>972</v>
      </c>
      <c r="B30" t="s">
        <v>489</v>
      </c>
      <c r="C30" t="s">
        <v>490</v>
      </c>
      <c r="D30" t="s">
        <v>490</v>
      </c>
      <c r="E30" t="s">
        <v>490</v>
      </c>
      <c r="F30" t="s">
        <v>490</v>
      </c>
      <c r="G30" t="s">
        <v>489</v>
      </c>
      <c r="H30" t="s">
        <v>490</v>
      </c>
      <c r="I30" t="s">
        <v>490</v>
      </c>
      <c r="J30" t="s">
        <v>489</v>
      </c>
      <c r="K30" t="s">
        <v>490</v>
      </c>
      <c r="L30" t="s">
        <v>490</v>
      </c>
      <c r="M30" t="s">
        <v>489</v>
      </c>
    </row>
    <row r="31" spans="1:13">
      <c r="A31" t="s">
        <v>972</v>
      </c>
      <c r="B31" t="s">
        <v>489</v>
      </c>
      <c r="C31" t="s">
        <v>490</v>
      </c>
      <c r="D31" t="s">
        <v>490</v>
      </c>
      <c r="E31" t="s">
        <v>490</v>
      </c>
      <c r="F31" t="s">
        <v>490</v>
      </c>
      <c r="G31" t="s">
        <v>489</v>
      </c>
      <c r="H31" t="s">
        <v>490</v>
      </c>
      <c r="I31" t="s">
        <v>490</v>
      </c>
      <c r="J31" t="s">
        <v>489</v>
      </c>
      <c r="K31" t="s">
        <v>490</v>
      </c>
      <c r="L31" t="s">
        <v>490</v>
      </c>
      <c r="M31" t="s">
        <v>489</v>
      </c>
    </row>
    <row r="32" spans="1:13">
      <c r="A32" t="s">
        <v>972</v>
      </c>
      <c r="B32" t="s">
        <v>489</v>
      </c>
      <c r="C32" t="s">
        <v>490</v>
      </c>
      <c r="D32" t="s">
        <v>490</v>
      </c>
      <c r="E32" t="s">
        <v>490</v>
      </c>
      <c r="F32" t="s">
        <v>490</v>
      </c>
      <c r="G32" t="s">
        <v>489</v>
      </c>
      <c r="H32" t="s">
        <v>490</v>
      </c>
      <c r="I32" t="s">
        <v>490</v>
      </c>
      <c r="J32" t="s">
        <v>489</v>
      </c>
      <c r="K32" t="s">
        <v>490</v>
      </c>
      <c r="L32" t="s">
        <v>490</v>
      </c>
      <c r="M32" t="s">
        <v>489</v>
      </c>
    </row>
    <row r="33" spans="1:17">
      <c r="A33" t="s">
        <v>972</v>
      </c>
      <c r="B33" t="s">
        <v>489</v>
      </c>
      <c r="C33" t="s">
        <v>490</v>
      </c>
      <c r="D33" t="s">
        <v>490</v>
      </c>
      <c r="E33" t="s">
        <v>490</v>
      </c>
      <c r="F33" t="s">
        <v>490</v>
      </c>
      <c r="G33" t="s">
        <v>489</v>
      </c>
      <c r="H33" t="s">
        <v>490</v>
      </c>
      <c r="I33" t="s">
        <v>490</v>
      </c>
      <c r="J33" t="s">
        <v>489</v>
      </c>
      <c r="K33" t="s">
        <v>490</v>
      </c>
      <c r="L33" t="s">
        <v>490</v>
      </c>
      <c r="M33" t="s">
        <v>489</v>
      </c>
    </row>
    <row r="34" spans="1:17">
      <c r="A34" t="s">
        <v>972</v>
      </c>
      <c r="B34" t="s">
        <v>489</v>
      </c>
      <c r="C34" t="s">
        <v>490</v>
      </c>
      <c r="D34" t="s">
        <v>490</v>
      </c>
      <c r="E34" t="s">
        <v>490</v>
      </c>
      <c r="F34" t="s">
        <v>490</v>
      </c>
      <c r="G34" t="s">
        <v>489</v>
      </c>
      <c r="H34" t="s">
        <v>490</v>
      </c>
      <c r="I34" t="s">
        <v>490</v>
      </c>
      <c r="J34" t="s">
        <v>489</v>
      </c>
      <c r="K34" t="s">
        <v>490</v>
      </c>
      <c r="L34" t="s">
        <v>490</v>
      </c>
      <c r="M34" t="s">
        <v>489</v>
      </c>
    </row>
    <row r="35" spans="1:17">
      <c r="A35" t="s">
        <v>972</v>
      </c>
      <c r="B35" t="s">
        <v>489</v>
      </c>
      <c r="C35" t="s">
        <v>490</v>
      </c>
      <c r="D35" t="s">
        <v>490</v>
      </c>
      <c r="E35" t="s">
        <v>490</v>
      </c>
      <c r="F35" t="s">
        <v>490</v>
      </c>
      <c r="G35" t="s">
        <v>489</v>
      </c>
      <c r="H35" t="s">
        <v>490</v>
      </c>
      <c r="I35" t="s">
        <v>490</v>
      </c>
      <c r="J35" t="s">
        <v>489</v>
      </c>
      <c r="K35" t="s">
        <v>490</v>
      </c>
      <c r="L35" t="s">
        <v>490</v>
      </c>
      <c r="M35" t="s">
        <v>489</v>
      </c>
    </row>
    <row r="36" spans="1:17">
      <c r="A36" t="s">
        <v>974</v>
      </c>
      <c r="B36" t="s">
        <v>489</v>
      </c>
      <c r="C36" t="s">
        <v>490</v>
      </c>
      <c r="D36" t="s">
        <v>490</v>
      </c>
      <c r="E36" t="s">
        <v>490</v>
      </c>
      <c r="F36" t="s">
        <v>490</v>
      </c>
      <c r="G36" t="s">
        <v>489</v>
      </c>
      <c r="H36" t="s">
        <v>490</v>
      </c>
      <c r="I36" t="s">
        <v>490</v>
      </c>
      <c r="J36" t="s">
        <v>489</v>
      </c>
      <c r="K36" t="s">
        <v>490</v>
      </c>
      <c r="L36" t="s">
        <v>490</v>
      </c>
      <c r="M36" t="s">
        <v>489</v>
      </c>
    </row>
    <row r="37" spans="1:17">
      <c r="A37" t="s">
        <v>972</v>
      </c>
      <c r="B37" t="s">
        <v>489</v>
      </c>
      <c r="C37" t="s">
        <v>490</v>
      </c>
      <c r="D37" t="s">
        <v>490</v>
      </c>
      <c r="E37" t="s">
        <v>490</v>
      </c>
      <c r="F37" t="s">
        <v>490</v>
      </c>
      <c r="G37" t="s">
        <v>489</v>
      </c>
      <c r="H37" t="s">
        <v>490</v>
      </c>
      <c r="I37" t="s">
        <v>490</v>
      </c>
      <c r="J37" t="s">
        <v>489</v>
      </c>
      <c r="K37" t="s">
        <v>490</v>
      </c>
      <c r="L37" t="s">
        <v>490</v>
      </c>
      <c r="M37" t="s">
        <v>489</v>
      </c>
    </row>
    <row r="38" spans="1:17">
      <c r="A38" t="s">
        <v>972</v>
      </c>
      <c r="B38" t="s">
        <v>489</v>
      </c>
      <c r="C38" t="s">
        <v>490</v>
      </c>
      <c r="D38" t="s">
        <v>490</v>
      </c>
      <c r="E38" t="s">
        <v>490</v>
      </c>
      <c r="F38" t="s">
        <v>490</v>
      </c>
      <c r="G38" t="s">
        <v>489</v>
      </c>
      <c r="H38" t="s">
        <v>490</v>
      </c>
      <c r="I38" t="s">
        <v>490</v>
      </c>
      <c r="J38" t="s">
        <v>489</v>
      </c>
      <c r="K38" t="s">
        <v>490</v>
      </c>
      <c r="L38" t="s">
        <v>490</v>
      </c>
      <c r="M38" t="s">
        <v>489</v>
      </c>
    </row>
    <row r="39" spans="1:17">
      <c r="A39" t="s">
        <v>972</v>
      </c>
      <c r="B39" t="s">
        <v>490</v>
      </c>
      <c r="C39" t="s">
        <v>490</v>
      </c>
      <c r="D39" t="s">
        <v>489</v>
      </c>
      <c r="E39" t="s">
        <v>490</v>
      </c>
      <c r="F39" t="s">
        <v>490</v>
      </c>
      <c r="G39" t="s">
        <v>489</v>
      </c>
      <c r="H39" t="s">
        <v>490</v>
      </c>
      <c r="I39" t="s">
        <v>490</v>
      </c>
      <c r="J39" t="s">
        <v>489</v>
      </c>
      <c r="K39" t="s">
        <v>490</v>
      </c>
      <c r="L39" t="s">
        <v>490</v>
      </c>
      <c r="M39" t="s">
        <v>489</v>
      </c>
    </row>
    <row r="40" spans="1:17">
      <c r="A40" t="s">
        <v>974</v>
      </c>
      <c r="B40" t="s">
        <v>490</v>
      </c>
      <c r="C40" t="s">
        <v>490</v>
      </c>
      <c r="D40" t="s">
        <v>489</v>
      </c>
      <c r="E40" t="s">
        <v>490</v>
      </c>
      <c r="F40" t="s">
        <v>490</v>
      </c>
      <c r="G40" t="s">
        <v>489</v>
      </c>
      <c r="H40" t="s">
        <v>490</v>
      </c>
      <c r="I40" t="s">
        <v>490</v>
      </c>
      <c r="J40" t="s">
        <v>489</v>
      </c>
      <c r="K40" t="s">
        <v>490</v>
      </c>
      <c r="L40" t="s">
        <v>490</v>
      </c>
      <c r="M40" t="s">
        <v>489</v>
      </c>
    </row>
    <row r="41" spans="1:17">
      <c r="A41" t="s">
        <v>974</v>
      </c>
      <c r="B41" t="s">
        <v>490</v>
      </c>
      <c r="C41" t="s">
        <v>490</v>
      </c>
      <c r="D41" t="s">
        <v>489</v>
      </c>
      <c r="E41" t="s">
        <v>490</v>
      </c>
      <c r="F41" t="s">
        <v>490</v>
      </c>
      <c r="G41" t="s">
        <v>489</v>
      </c>
      <c r="H41" t="s">
        <v>490</v>
      </c>
      <c r="I41" t="s">
        <v>490</v>
      </c>
      <c r="J41" t="s">
        <v>489</v>
      </c>
      <c r="K41" t="s">
        <v>490</v>
      </c>
      <c r="L41" t="s">
        <v>490</v>
      </c>
      <c r="M41" t="s">
        <v>489</v>
      </c>
    </row>
    <row r="42" spans="1:17">
      <c r="A42" t="s">
        <v>972</v>
      </c>
      <c r="B42" t="s">
        <v>490</v>
      </c>
      <c r="C42" t="s">
        <v>490</v>
      </c>
      <c r="D42" t="s">
        <v>489</v>
      </c>
      <c r="E42" t="s">
        <v>490</v>
      </c>
      <c r="F42" t="s">
        <v>490</v>
      </c>
      <c r="G42" t="s">
        <v>489</v>
      </c>
      <c r="H42" t="s">
        <v>490</v>
      </c>
      <c r="I42" t="s">
        <v>490</v>
      </c>
      <c r="J42" t="s">
        <v>489</v>
      </c>
      <c r="K42" t="s">
        <v>490</v>
      </c>
      <c r="L42" t="s">
        <v>490</v>
      </c>
      <c r="M42" t="s">
        <v>489</v>
      </c>
    </row>
    <row r="43" spans="1:17">
      <c r="A43" t="s">
        <v>972</v>
      </c>
      <c r="B43" t="s">
        <v>490</v>
      </c>
      <c r="C43" t="s">
        <v>490</v>
      </c>
      <c r="D43" t="s">
        <v>489</v>
      </c>
      <c r="E43" t="s">
        <v>490</v>
      </c>
      <c r="F43" t="s">
        <v>490</v>
      </c>
      <c r="G43" t="s">
        <v>489</v>
      </c>
      <c r="H43" t="s">
        <v>490</v>
      </c>
      <c r="I43" t="s">
        <v>490</v>
      </c>
      <c r="J43" t="s">
        <v>489</v>
      </c>
      <c r="K43" t="s">
        <v>490</v>
      </c>
      <c r="L43" t="s">
        <v>490</v>
      </c>
      <c r="M43" t="s">
        <v>489</v>
      </c>
    </row>
    <row r="45" spans="1:17">
      <c r="B45" t="s">
        <v>693</v>
      </c>
      <c r="C45" t="s">
        <v>665</v>
      </c>
      <c r="D45" t="s">
        <v>666</v>
      </c>
      <c r="E45" t="s">
        <v>694</v>
      </c>
      <c r="F45" t="s">
        <v>665</v>
      </c>
      <c r="G45" t="s">
        <v>666</v>
      </c>
      <c r="H45" t="s">
        <v>695</v>
      </c>
      <c r="I45" t="s">
        <v>665</v>
      </c>
      <c r="J45" t="s">
        <v>666</v>
      </c>
      <c r="K45" t="s">
        <v>696</v>
      </c>
      <c r="L45" t="s">
        <v>665</v>
      </c>
      <c r="M45" t="s">
        <v>666</v>
      </c>
    </row>
    <row r="46" spans="1:17">
      <c r="A46" t="s">
        <v>489</v>
      </c>
      <c r="B46" s="25">
        <f>25/139</f>
        <v>0.17985611510791366</v>
      </c>
      <c r="C46" s="25">
        <f>5/139</f>
        <v>3.5971223021582732E-2</v>
      </c>
      <c r="D46" s="38"/>
      <c r="E46" s="25">
        <f>7/139</f>
        <v>5.0359712230215826E-2</v>
      </c>
      <c r="F46" s="25">
        <f>3/139</f>
        <v>2.1582733812949641E-2</v>
      </c>
      <c r="G46" s="38"/>
      <c r="H46" s="38">
        <f>4/139</f>
        <v>2.8776978417266189E-2</v>
      </c>
      <c r="I46" s="25">
        <f>2/139</f>
        <v>1.4388489208633094E-2</v>
      </c>
      <c r="J46" s="38"/>
      <c r="K46" s="25">
        <f>16/139</f>
        <v>0.11510791366906475</v>
      </c>
      <c r="L46" s="25">
        <f>4/139</f>
        <v>2.8776978417266189E-2</v>
      </c>
      <c r="M46" s="38"/>
      <c r="N46" s="25"/>
      <c r="O46" s="25"/>
      <c r="P46" s="38"/>
      <c r="Q46" s="25"/>
    </row>
    <row r="48" spans="1:17">
      <c r="A48" t="s">
        <v>1216</v>
      </c>
    </row>
    <row r="49" spans="1:3">
      <c r="B49" t="s">
        <v>1394</v>
      </c>
      <c r="C49" t="s">
        <v>1395</v>
      </c>
    </row>
    <row r="50" spans="1:3">
      <c r="A50" t="s">
        <v>1330</v>
      </c>
      <c r="B50" s="15">
        <v>1</v>
      </c>
      <c r="C50" s="15">
        <v>3</v>
      </c>
    </row>
    <row r="51" spans="1:3">
      <c r="A51" t="s">
        <v>1332</v>
      </c>
      <c r="B51" s="15">
        <v>2</v>
      </c>
      <c r="C51" s="15">
        <v>5</v>
      </c>
    </row>
    <row r="52" spans="1:3">
      <c r="A52" t="s">
        <v>1331</v>
      </c>
      <c r="B52" s="15">
        <v>3</v>
      </c>
      <c r="C52" s="15">
        <v>12</v>
      </c>
    </row>
    <row r="53" spans="1:3">
      <c r="A53" t="s">
        <v>1329</v>
      </c>
      <c r="B53" s="15">
        <v>4</v>
      </c>
      <c r="C53" s="15">
        <v>18</v>
      </c>
    </row>
    <row r="54" spans="1:3">
      <c r="B54" s="15"/>
      <c r="C54" s="15"/>
    </row>
  </sheetData>
  <sortState ref="A6:M44">
    <sortCondition ref="L6:L44"/>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X97"/>
  <sheetViews>
    <sheetView workbookViewId="0"/>
  </sheetViews>
  <sheetFormatPr defaultRowHeight="14.4"/>
  <cols>
    <col min="1" max="1" width="20" customWidth="1"/>
    <col min="2" max="2" width="10.88671875" customWidth="1"/>
    <col min="4" max="4" width="4.109375" customWidth="1"/>
    <col min="7" max="7" width="4.33203125" customWidth="1"/>
    <col min="10" max="10" width="3.88671875" customWidth="1"/>
    <col min="13" max="13" width="4.33203125" customWidth="1"/>
    <col min="16" max="16" width="3.6640625" customWidth="1"/>
  </cols>
  <sheetData>
    <row r="1" spans="1:19">
      <c r="A1" s="3" t="s">
        <v>1304</v>
      </c>
    </row>
    <row r="2" spans="1:19">
      <c r="A2" t="s">
        <v>1333</v>
      </c>
    </row>
    <row r="4" spans="1:19">
      <c r="A4" t="s">
        <v>1216</v>
      </c>
    </row>
    <row r="5" spans="1:19">
      <c r="B5" t="s">
        <v>697</v>
      </c>
      <c r="C5" t="s">
        <v>665</v>
      </c>
      <c r="D5" t="s">
        <v>666</v>
      </c>
      <c r="E5" t="s">
        <v>698</v>
      </c>
      <c r="F5" t="s">
        <v>665</v>
      </c>
      <c r="G5" t="s">
        <v>666</v>
      </c>
      <c r="H5" t="s">
        <v>699</v>
      </c>
      <c r="I5" t="s">
        <v>665</v>
      </c>
      <c r="J5" t="s">
        <v>666</v>
      </c>
      <c r="K5" t="s">
        <v>700</v>
      </c>
      <c r="L5" t="s">
        <v>665</v>
      </c>
      <c r="M5" t="s">
        <v>666</v>
      </c>
      <c r="N5" t="s">
        <v>701</v>
      </c>
      <c r="O5" t="s">
        <v>665</v>
      </c>
      <c r="P5" t="s">
        <v>666</v>
      </c>
      <c r="Q5" t="s">
        <v>702</v>
      </c>
      <c r="R5" t="s">
        <v>665</v>
      </c>
      <c r="S5" t="s">
        <v>666</v>
      </c>
    </row>
    <row r="6" spans="1:19">
      <c r="A6" t="s">
        <v>973</v>
      </c>
      <c r="B6" t="s">
        <v>489</v>
      </c>
      <c r="C6" t="s">
        <v>489</v>
      </c>
      <c r="D6" t="s">
        <v>490</v>
      </c>
      <c r="E6" t="s">
        <v>489</v>
      </c>
      <c r="F6" t="s">
        <v>489</v>
      </c>
      <c r="G6" t="s">
        <v>490</v>
      </c>
      <c r="H6" t="s">
        <v>490</v>
      </c>
      <c r="I6" t="s">
        <v>490</v>
      </c>
      <c r="J6" t="s">
        <v>489</v>
      </c>
      <c r="K6" t="s">
        <v>489</v>
      </c>
      <c r="L6" t="s">
        <v>489</v>
      </c>
      <c r="M6" t="s">
        <v>490</v>
      </c>
      <c r="N6" t="s">
        <v>489</v>
      </c>
      <c r="O6" t="s">
        <v>489</v>
      </c>
      <c r="P6" t="s">
        <v>490</v>
      </c>
      <c r="Q6" t="s">
        <v>489</v>
      </c>
      <c r="R6" t="s">
        <v>489</v>
      </c>
      <c r="S6" t="s">
        <v>490</v>
      </c>
    </row>
    <row r="7" spans="1:19">
      <c r="A7" t="s">
        <v>972</v>
      </c>
      <c r="B7" t="s">
        <v>489</v>
      </c>
      <c r="C7" t="s">
        <v>489</v>
      </c>
      <c r="D7" t="s">
        <v>490</v>
      </c>
      <c r="E7" t="s">
        <v>489</v>
      </c>
      <c r="F7" t="s">
        <v>489</v>
      </c>
      <c r="G7" t="s">
        <v>490</v>
      </c>
      <c r="H7" t="s">
        <v>490</v>
      </c>
      <c r="I7" t="s">
        <v>490</v>
      </c>
      <c r="J7" t="s">
        <v>489</v>
      </c>
      <c r="K7" t="s">
        <v>489</v>
      </c>
      <c r="L7" t="s">
        <v>489</v>
      </c>
      <c r="M7" t="s">
        <v>490</v>
      </c>
      <c r="N7" t="s">
        <v>489</v>
      </c>
      <c r="O7" t="s">
        <v>489</v>
      </c>
      <c r="P7" t="s">
        <v>490</v>
      </c>
      <c r="Q7" t="s">
        <v>489</v>
      </c>
      <c r="R7" t="s">
        <v>489</v>
      </c>
      <c r="S7" t="s">
        <v>490</v>
      </c>
    </row>
    <row r="8" spans="1:19">
      <c r="A8" t="s">
        <v>972</v>
      </c>
      <c r="B8" t="s">
        <v>489</v>
      </c>
      <c r="C8" t="s">
        <v>489</v>
      </c>
      <c r="D8" t="s">
        <v>490</v>
      </c>
      <c r="E8" t="s">
        <v>489</v>
      </c>
      <c r="F8" t="s">
        <v>489</v>
      </c>
      <c r="G8" t="s">
        <v>490</v>
      </c>
      <c r="H8" t="s">
        <v>490</v>
      </c>
      <c r="I8" t="s">
        <v>490</v>
      </c>
      <c r="J8" t="s">
        <v>489</v>
      </c>
      <c r="K8" t="s">
        <v>489</v>
      </c>
      <c r="L8" t="s">
        <v>489</v>
      </c>
      <c r="M8" t="s">
        <v>490</v>
      </c>
      <c r="N8" t="s">
        <v>489</v>
      </c>
      <c r="O8" t="s">
        <v>489</v>
      </c>
      <c r="P8" t="s">
        <v>490</v>
      </c>
      <c r="Q8" t="s">
        <v>489</v>
      </c>
      <c r="R8" t="s">
        <v>489</v>
      </c>
      <c r="S8" t="s">
        <v>490</v>
      </c>
    </row>
    <row r="9" spans="1:19">
      <c r="A9" t="s">
        <v>974</v>
      </c>
      <c r="B9" t="s">
        <v>489</v>
      </c>
      <c r="C9" t="s">
        <v>489</v>
      </c>
      <c r="D9" t="s">
        <v>490</v>
      </c>
      <c r="E9" t="s">
        <v>489</v>
      </c>
      <c r="F9" t="s">
        <v>489</v>
      </c>
      <c r="G9" t="s">
        <v>490</v>
      </c>
      <c r="H9" t="s">
        <v>490</v>
      </c>
      <c r="I9" t="s">
        <v>490</v>
      </c>
      <c r="J9" t="s">
        <v>489</v>
      </c>
      <c r="K9" t="s">
        <v>489</v>
      </c>
      <c r="L9" t="s">
        <v>489</v>
      </c>
      <c r="M9" t="s">
        <v>490</v>
      </c>
      <c r="N9" t="s">
        <v>489</v>
      </c>
      <c r="O9" t="s">
        <v>489</v>
      </c>
      <c r="P9" t="s">
        <v>490</v>
      </c>
      <c r="Q9" t="s">
        <v>489</v>
      </c>
      <c r="R9" t="s">
        <v>489</v>
      </c>
      <c r="S9" t="s">
        <v>490</v>
      </c>
    </row>
    <row r="10" spans="1:19">
      <c r="A10" t="s">
        <v>974</v>
      </c>
      <c r="B10" t="s">
        <v>489</v>
      </c>
      <c r="C10" t="s">
        <v>489</v>
      </c>
      <c r="D10" t="s">
        <v>490</v>
      </c>
      <c r="E10" t="s">
        <v>489</v>
      </c>
      <c r="F10" t="s">
        <v>489</v>
      </c>
      <c r="G10" t="s">
        <v>490</v>
      </c>
      <c r="H10" t="s">
        <v>490</v>
      </c>
      <c r="I10" t="s">
        <v>490</v>
      </c>
      <c r="J10" t="s">
        <v>489</v>
      </c>
      <c r="K10" t="s">
        <v>489</v>
      </c>
      <c r="L10" t="s">
        <v>489</v>
      </c>
      <c r="M10" t="s">
        <v>490</v>
      </c>
      <c r="N10" t="s">
        <v>489</v>
      </c>
      <c r="O10" t="s">
        <v>489</v>
      </c>
      <c r="P10" t="s">
        <v>490</v>
      </c>
      <c r="Q10" t="s">
        <v>489</v>
      </c>
      <c r="R10" t="s">
        <v>489</v>
      </c>
      <c r="S10" t="s">
        <v>490</v>
      </c>
    </row>
    <row r="11" spans="1:19">
      <c r="A11" t="s">
        <v>974</v>
      </c>
      <c r="B11" t="s">
        <v>489</v>
      </c>
      <c r="C11" t="s">
        <v>489</v>
      </c>
      <c r="D11" t="s">
        <v>490</v>
      </c>
      <c r="E11" t="s">
        <v>489</v>
      </c>
      <c r="F11" t="s">
        <v>489</v>
      </c>
      <c r="G11" t="s">
        <v>490</v>
      </c>
      <c r="H11" t="s">
        <v>490</v>
      </c>
      <c r="I11" t="s">
        <v>490</v>
      </c>
      <c r="J11" t="s">
        <v>489</v>
      </c>
      <c r="K11" t="s">
        <v>489</v>
      </c>
      <c r="L11" t="s">
        <v>489</v>
      </c>
      <c r="M11" t="s">
        <v>490</v>
      </c>
      <c r="N11" t="s">
        <v>489</v>
      </c>
      <c r="O11" t="s">
        <v>489</v>
      </c>
      <c r="P11" t="s">
        <v>490</v>
      </c>
      <c r="Q11" t="s">
        <v>489</v>
      </c>
      <c r="R11" t="s">
        <v>489</v>
      </c>
      <c r="S11" t="s">
        <v>490</v>
      </c>
    </row>
    <row r="12" spans="1:19">
      <c r="A12" t="s">
        <v>972</v>
      </c>
      <c r="B12" t="s">
        <v>489</v>
      </c>
      <c r="C12" t="s">
        <v>489</v>
      </c>
      <c r="D12" t="s">
        <v>490</v>
      </c>
      <c r="E12" t="s">
        <v>489</v>
      </c>
      <c r="F12" t="s">
        <v>489</v>
      </c>
      <c r="G12" t="s">
        <v>490</v>
      </c>
      <c r="H12" t="s">
        <v>490</v>
      </c>
      <c r="I12" t="s">
        <v>490</v>
      </c>
      <c r="J12" t="s">
        <v>489</v>
      </c>
      <c r="K12" t="s">
        <v>489</v>
      </c>
      <c r="L12" t="s">
        <v>489</v>
      </c>
      <c r="M12" t="s">
        <v>490</v>
      </c>
      <c r="N12" t="s">
        <v>489</v>
      </c>
      <c r="O12" t="s">
        <v>489</v>
      </c>
      <c r="P12" t="s">
        <v>490</v>
      </c>
      <c r="Q12" t="s">
        <v>489</v>
      </c>
      <c r="R12" t="s">
        <v>489</v>
      </c>
      <c r="S12" t="s">
        <v>490</v>
      </c>
    </row>
    <row r="13" spans="1:19">
      <c r="A13" t="s">
        <v>972</v>
      </c>
      <c r="B13" t="s">
        <v>490</v>
      </c>
      <c r="C13" t="s">
        <v>490</v>
      </c>
      <c r="D13" t="s">
        <v>489</v>
      </c>
      <c r="E13" t="s">
        <v>490</v>
      </c>
      <c r="F13" t="s">
        <v>490</v>
      </c>
      <c r="G13" t="s">
        <v>489</v>
      </c>
      <c r="H13" t="s">
        <v>490</v>
      </c>
      <c r="I13" t="s">
        <v>490</v>
      </c>
      <c r="J13" t="s">
        <v>489</v>
      </c>
      <c r="K13" t="s">
        <v>489</v>
      </c>
      <c r="L13" t="s">
        <v>489</v>
      </c>
      <c r="M13" t="s">
        <v>490</v>
      </c>
      <c r="N13" t="s">
        <v>489</v>
      </c>
      <c r="O13" t="s">
        <v>489</v>
      </c>
      <c r="P13" t="s">
        <v>490</v>
      </c>
      <c r="Q13" t="s">
        <v>489</v>
      </c>
      <c r="R13" t="s">
        <v>489</v>
      </c>
      <c r="S13" t="s">
        <v>490</v>
      </c>
    </row>
    <row r="14" spans="1:19">
      <c r="A14" t="s">
        <v>972</v>
      </c>
      <c r="B14" t="s">
        <v>490</v>
      </c>
      <c r="C14" t="s">
        <v>490</v>
      </c>
      <c r="D14" t="s">
        <v>489</v>
      </c>
      <c r="E14" t="s">
        <v>489</v>
      </c>
      <c r="F14" t="s">
        <v>489</v>
      </c>
      <c r="G14" t="s">
        <v>490</v>
      </c>
      <c r="H14" t="s">
        <v>490</v>
      </c>
      <c r="I14" t="s">
        <v>490</v>
      </c>
      <c r="J14" t="s">
        <v>489</v>
      </c>
      <c r="K14" t="s">
        <v>489</v>
      </c>
      <c r="L14" t="s">
        <v>490</v>
      </c>
      <c r="M14" t="s">
        <v>490</v>
      </c>
      <c r="N14" t="s">
        <v>489</v>
      </c>
      <c r="O14" t="s">
        <v>489</v>
      </c>
      <c r="P14" t="s">
        <v>490</v>
      </c>
      <c r="Q14" t="s">
        <v>489</v>
      </c>
      <c r="R14" t="s">
        <v>489</v>
      </c>
      <c r="S14" t="s">
        <v>490</v>
      </c>
    </row>
    <row r="15" spans="1:19">
      <c r="A15" t="s">
        <v>972</v>
      </c>
      <c r="B15" t="s">
        <v>490</v>
      </c>
      <c r="C15" t="s">
        <v>490</v>
      </c>
      <c r="D15" t="s">
        <v>489</v>
      </c>
      <c r="E15" t="s">
        <v>489</v>
      </c>
      <c r="F15" t="s">
        <v>489</v>
      </c>
      <c r="G15" t="s">
        <v>490</v>
      </c>
      <c r="H15" t="s">
        <v>490</v>
      </c>
      <c r="I15" t="s">
        <v>490</v>
      </c>
      <c r="J15" t="s">
        <v>489</v>
      </c>
      <c r="K15" t="s">
        <v>489</v>
      </c>
      <c r="L15" t="s">
        <v>490</v>
      </c>
      <c r="M15" t="s">
        <v>490</v>
      </c>
      <c r="N15" t="s">
        <v>489</v>
      </c>
      <c r="O15" t="s">
        <v>490</v>
      </c>
      <c r="P15" t="s">
        <v>490</v>
      </c>
      <c r="Q15" t="s">
        <v>489</v>
      </c>
      <c r="R15" t="s">
        <v>489</v>
      </c>
      <c r="S15" t="s">
        <v>490</v>
      </c>
    </row>
    <row r="16" spans="1:19">
      <c r="A16" t="s">
        <v>974</v>
      </c>
      <c r="B16" t="s">
        <v>489</v>
      </c>
      <c r="C16" t="s">
        <v>490</v>
      </c>
      <c r="D16" t="s">
        <v>490</v>
      </c>
      <c r="E16" t="s">
        <v>489</v>
      </c>
      <c r="F16" t="s">
        <v>489</v>
      </c>
      <c r="G16" t="s">
        <v>490</v>
      </c>
      <c r="H16" t="s">
        <v>490</v>
      </c>
      <c r="I16" t="s">
        <v>490</v>
      </c>
      <c r="J16" t="s">
        <v>489</v>
      </c>
      <c r="K16" t="s">
        <v>490</v>
      </c>
      <c r="L16" t="s">
        <v>489</v>
      </c>
      <c r="M16" t="s">
        <v>490</v>
      </c>
      <c r="N16" t="s">
        <v>490</v>
      </c>
      <c r="O16" t="s">
        <v>489</v>
      </c>
      <c r="P16" t="s">
        <v>490</v>
      </c>
      <c r="Q16" t="s">
        <v>490</v>
      </c>
      <c r="R16" t="s">
        <v>489</v>
      </c>
      <c r="S16" t="s">
        <v>490</v>
      </c>
    </row>
    <row r="17" spans="1:19">
      <c r="A17" t="s">
        <v>972</v>
      </c>
      <c r="B17" t="s">
        <v>490</v>
      </c>
      <c r="C17" t="s">
        <v>490</v>
      </c>
      <c r="D17" t="s">
        <v>489</v>
      </c>
      <c r="E17" t="s">
        <v>490</v>
      </c>
      <c r="F17" t="s">
        <v>490</v>
      </c>
      <c r="G17" t="s">
        <v>489</v>
      </c>
      <c r="H17" t="s">
        <v>490</v>
      </c>
      <c r="I17" t="s">
        <v>490</v>
      </c>
      <c r="J17" t="s">
        <v>489</v>
      </c>
      <c r="K17" t="s">
        <v>489</v>
      </c>
      <c r="L17" t="s">
        <v>490</v>
      </c>
      <c r="M17" t="s">
        <v>490</v>
      </c>
      <c r="N17" t="s">
        <v>490</v>
      </c>
      <c r="O17" t="s">
        <v>489</v>
      </c>
      <c r="P17" t="s">
        <v>490</v>
      </c>
      <c r="Q17" t="s">
        <v>490</v>
      </c>
      <c r="R17" t="s">
        <v>489</v>
      </c>
      <c r="S17" t="s">
        <v>490</v>
      </c>
    </row>
    <row r="18" spans="1:19">
      <c r="A18" t="s">
        <v>974</v>
      </c>
      <c r="B18" t="s">
        <v>489</v>
      </c>
      <c r="C18" t="s">
        <v>489</v>
      </c>
      <c r="D18" t="s">
        <v>490</v>
      </c>
      <c r="E18" t="s">
        <v>489</v>
      </c>
      <c r="F18" t="s">
        <v>489</v>
      </c>
      <c r="G18" t="s">
        <v>490</v>
      </c>
      <c r="H18" t="s">
        <v>490</v>
      </c>
      <c r="I18" t="s">
        <v>490</v>
      </c>
      <c r="J18" t="s">
        <v>489</v>
      </c>
      <c r="K18" t="s">
        <v>489</v>
      </c>
      <c r="L18" t="s">
        <v>489</v>
      </c>
      <c r="M18" t="s">
        <v>490</v>
      </c>
      <c r="N18" t="s">
        <v>489</v>
      </c>
      <c r="O18" t="s">
        <v>489</v>
      </c>
      <c r="P18" t="s">
        <v>490</v>
      </c>
      <c r="Q18" t="s">
        <v>489</v>
      </c>
      <c r="R18" t="s">
        <v>490</v>
      </c>
      <c r="S18" t="s">
        <v>490</v>
      </c>
    </row>
    <row r="19" spans="1:19">
      <c r="A19" t="s">
        <v>974</v>
      </c>
      <c r="B19" t="s">
        <v>489</v>
      </c>
      <c r="C19" t="s">
        <v>490</v>
      </c>
      <c r="D19" t="s">
        <v>490</v>
      </c>
      <c r="E19" t="s">
        <v>489</v>
      </c>
      <c r="F19" t="s">
        <v>489</v>
      </c>
      <c r="G19" t="s">
        <v>490</v>
      </c>
      <c r="H19" t="s">
        <v>490</v>
      </c>
      <c r="I19" t="s">
        <v>490</v>
      </c>
      <c r="J19" t="s">
        <v>489</v>
      </c>
      <c r="K19" t="s">
        <v>489</v>
      </c>
      <c r="L19" t="s">
        <v>489</v>
      </c>
      <c r="M19" t="s">
        <v>490</v>
      </c>
      <c r="N19" t="s">
        <v>489</v>
      </c>
      <c r="O19" t="s">
        <v>489</v>
      </c>
      <c r="P19" t="s">
        <v>490</v>
      </c>
      <c r="Q19" t="s">
        <v>489</v>
      </c>
      <c r="R19" t="s">
        <v>490</v>
      </c>
      <c r="S19" t="s">
        <v>490</v>
      </c>
    </row>
    <row r="20" spans="1:19">
      <c r="A20" t="s">
        <v>972</v>
      </c>
      <c r="B20" t="s">
        <v>490</v>
      </c>
      <c r="C20" t="s">
        <v>490</v>
      </c>
      <c r="D20" t="s">
        <v>489</v>
      </c>
      <c r="E20" t="s">
        <v>490</v>
      </c>
      <c r="F20" t="s">
        <v>489</v>
      </c>
      <c r="G20" t="s">
        <v>490</v>
      </c>
      <c r="H20" t="s">
        <v>490</v>
      </c>
      <c r="I20" t="s">
        <v>490</v>
      </c>
      <c r="J20" t="s">
        <v>489</v>
      </c>
      <c r="K20" t="s">
        <v>489</v>
      </c>
      <c r="L20" t="s">
        <v>489</v>
      </c>
      <c r="M20" t="s">
        <v>490</v>
      </c>
      <c r="N20" t="s">
        <v>489</v>
      </c>
      <c r="O20" t="s">
        <v>489</v>
      </c>
      <c r="P20" t="s">
        <v>490</v>
      </c>
      <c r="Q20" t="s">
        <v>489</v>
      </c>
      <c r="R20" t="s">
        <v>490</v>
      </c>
      <c r="S20" t="s">
        <v>490</v>
      </c>
    </row>
    <row r="21" spans="1:19">
      <c r="A21" t="s">
        <v>974</v>
      </c>
      <c r="B21" t="s">
        <v>489</v>
      </c>
      <c r="C21" t="s">
        <v>490</v>
      </c>
      <c r="D21" t="s">
        <v>490</v>
      </c>
      <c r="E21" t="s">
        <v>489</v>
      </c>
      <c r="F21" t="s">
        <v>490</v>
      </c>
      <c r="G21" t="s">
        <v>490</v>
      </c>
      <c r="H21" t="s">
        <v>490</v>
      </c>
      <c r="I21" t="s">
        <v>490</v>
      </c>
      <c r="J21" t="s">
        <v>489</v>
      </c>
      <c r="K21" t="s">
        <v>489</v>
      </c>
      <c r="L21" t="s">
        <v>489</v>
      </c>
      <c r="M21" t="s">
        <v>490</v>
      </c>
      <c r="N21" t="s">
        <v>489</v>
      </c>
      <c r="O21" t="s">
        <v>489</v>
      </c>
      <c r="P21" t="s">
        <v>490</v>
      </c>
      <c r="Q21" t="s">
        <v>489</v>
      </c>
      <c r="R21" t="s">
        <v>490</v>
      </c>
      <c r="S21" t="s">
        <v>490</v>
      </c>
    </row>
    <row r="22" spans="1:19">
      <c r="A22" t="s">
        <v>972</v>
      </c>
      <c r="B22" t="s">
        <v>489</v>
      </c>
      <c r="C22" t="s">
        <v>490</v>
      </c>
      <c r="D22" t="s">
        <v>490</v>
      </c>
      <c r="E22" t="s">
        <v>489</v>
      </c>
      <c r="F22" t="s">
        <v>490</v>
      </c>
      <c r="G22" t="s">
        <v>490</v>
      </c>
      <c r="H22" t="s">
        <v>490</v>
      </c>
      <c r="I22" t="s">
        <v>490</v>
      </c>
      <c r="J22" t="s">
        <v>489</v>
      </c>
      <c r="K22" t="s">
        <v>490</v>
      </c>
      <c r="L22" t="s">
        <v>489</v>
      </c>
      <c r="M22" t="s">
        <v>490</v>
      </c>
      <c r="N22" t="s">
        <v>490</v>
      </c>
      <c r="O22" t="s">
        <v>489</v>
      </c>
      <c r="P22" t="s">
        <v>490</v>
      </c>
      <c r="Q22" t="s">
        <v>489</v>
      </c>
      <c r="R22" t="s">
        <v>490</v>
      </c>
      <c r="S22" t="s">
        <v>490</v>
      </c>
    </row>
    <row r="23" spans="1:19">
      <c r="A23" t="s">
        <v>954</v>
      </c>
      <c r="B23" t="s">
        <v>489</v>
      </c>
      <c r="C23" t="s">
        <v>489</v>
      </c>
      <c r="D23" t="s">
        <v>490</v>
      </c>
      <c r="E23" t="s">
        <v>489</v>
      </c>
      <c r="F23" t="s">
        <v>489</v>
      </c>
      <c r="G23" t="s">
        <v>490</v>
      </c>
      <c r="H23" t="s">
        <v>490</v>
      </c>
      <c r="I23" t="s">
        <v>490</v>
      </c>
      <c r="J23" t="s">
        <v>489</v>
      </c>
      <c r="K23" t="s">
        <v>489</v>
      </c>
      <c r="L23" t="s">
        <v>490</v>
      </c>
      <c r="M23" t="s">
        <v>490</v>
      </c>
      <c r="N23" t="s">
        <v>489</v>
      </c>
      <c r="O23" t="s">
        <v>490</v>
      </c>
      <c r="P23" t="s">
        <v>490</v>
      </c>
      <c r="Q23" t="s">
        <v>489</v>
      </c>
      <c r="R23" t="s">
        <v>490</v>
      </c>
      <c r="S23" t="s">
        <v>490</v>
      </c>
    </row>
    <row r="24" spans="1:19">
      <c r="A24" t="s">
        <v>972</v>
      </c>
      <c r="B24" t="s">
        <v>489</v>
      </c>
      <c r="C24" t="s">
        <v>490</v>
      </c>
      <c r="D24" t="s">
        <v>490</v>
      </c>
      <c r="E24" t="s">
        <v>489</v>
      </c>
      <c r="F24" t="s">
        <v>489</v>
      </c>
      <c r="G24" t="s">
        <v>490</v>
      </c>
      <c r="H24" t="s">
        <v>490</v>
      </c>
      <c r="I24" t="s">
        <v>490</v>
      </c>
      <c r="J24" t="s">
        <v>489</v>
      </c>
      <c r="K24" t="s">
        <v>489</v>
      </c>
      <c r="L24" t="s">
        <v>490</v>
      </c>
      <c r="M24" t="s">
        <v>490</v>
      </c>
      <c r="N24" t="s">
        <v>489</v>
      </c>
      <c r="O24" t="s">
        <v>490</v>
      </c>
      <c r="P24" t="s">
        <v>490</v>
      </c>
      <c r="Q24" t="s">
        <v>489</v>
      </c>
      <c r="R24" t="s">
        <v>490</v>
      </c>
      <c r="S24" t="s">
        <v>490</v>
      </c>
    </row>
    <row r="25" spans="1:19">
      <c r="A25" t="s">
        <v>974</v>
      </c>
      <c r="B25" t="s">
        <v>489</v>
      </c>
      <c r="C25" t="s">
        <v>490</v>
      </c>
      <c r="D25" t="s">
        <v>490</v>
      </c>
      <c r="E25" t="s">
        <v>489</v>
      </c>
      <c r="F25" t="s">
        <v>490</v>
      </c>
      <c r="G25" t="s">
        <v>490</v>
      </c>
      <c r="H25" t="s">
        <v>490</v>
      </c>
      <c r="I25" t="s">
        <v>490</v>
      </c>
      <c r="J25" t="s">
        <v>489</v>
      </c>
      <c r="K25" t="s">
        <v>489</v>
      </c>
      <c r="L25" t="s">
        <v>490</v>
      </c>
      <c r="M25" t="s">
        <v>490</v>
      </c>
      <c r="N25" t="s">
        <v>489</v>
      </c>
      <c r="O25" t="s">
        <v>490</v>
      </c>
      <c r="P25" t="s">
        <v>490</v>
      </c>
      <c r="Q25" t="s">
        <v>489</v>
      </c>
      <c r="R25" t="s">
        <v>490</v>
      </c>
      <c r="S25" t="s">
        <v>490</v>
      </c>
    </row>
    <row r="26" spans="1:19">
      <c r="A26" t="s">
        <v>972</v>
      </c>
      <c r="B26" t="s">
        <v>489</v>
      </c>
      <c r="C26" t="s">
        <v>490</v>
      </c>
      <c r="D26" t="s">
        <v>490</v>
      </c>
      <c r="E26" t="s">
        <v>490</v>
      </c>
      <c r="F26" t="s">
        <v>490</v>
      </c>
      <c r="G26" t="s">
        <v>489</v>
      </c>
      <c r="H26" t="s">
        <v>490</v>
      </c>
      <c r="I26" t="s">
        <v>490</v>
      </c>
      <c r="J26" t="s">
        <v>489</v>
      </c>
      <c r="K26" t="s">
        <v>489</v>
      </c>
      <c r="L26" t="s">
        <v>490</v>
      </c>
      <c r="M26" t="s">
        <v>490</v>
      </c>
      <c r="N26" t="s">
        <v>489</v>
      </c>
      <c r="O26" t="s">
        <v>490</v>
      </c>
      <c r="P26" t="s">
        <v>490</v>
      </c>
      <c r="Q26" t="s">
        <v>489</v>
      </c>
      <c r="R26" t="s">
        <v>490</v>
      </c>
      <c r="S26" t="s">
        <v>490</v>
      </c>
    </row>
    <row r="27" spans="1:19">
      <c r="A27" t="s">
        <v>972</v>
      </c>
      <c r="B27" t="s">
        <v>490</v>
      </c>
      <c r="C27" t="s">
        <v>490</v>
      </c>
      <c r="D27" t="s">
        <v>489</v>
      </c>
      <c r="E27" t="s">
        <v>489</v>
      </c>
      <c r="F27" t="s">
        <v>489</v>
      </c>
      <c r="G27" t="s">
        <v>490</v>
      </c>
      <c r="H27" t="s">
        <v>490</v>
      </c>
      <c r="I27" t="s">
        <v>489</v>
      </c>
      <c r="J27" t="s">
        <v>490</v>
      </c>
      <c r="K27" t="s">
        <v>489</v>
      </c>
      <c r="L27" t="s">
        <v>489</v>
      </c>
      <c r="M27" t="s">
        <v>490</v>
      </c>
      <c r="N27" t="s">
        <v>489</v>
      </c>
      <c r="O27" t="s">
        <v>489</v>
      </c>
      <c r="P27" t="s">
        <v>490</v>
      </c>
      <c r="Q27" t="s">
        <v>490</v>
      </c>
      <c r="R27" t="s">
        <v>490</v>
      </c>
      <c r="S27" t="s">
        <v>489</v>
      </c>
    </row>
    <row r="28" spans="1:19">
      <c r="A28" t="s">
        <v>973</v>
      </c>
      <c r="B28" t="s">
        <v>489</v>
      </c>
      <c r="C28" t="s">
        <v>490</v>
      </c>
      <c r="D28" t="s">
        <v>490</v>
      </c>
      <c r="E28" t="s">
        <v>489</v>
      </c>
      <c r="F28" t="s">
        <v>490</v>
      </c>
      <c r="G28" t="s">
        <v>490</v>
      </c>
      <c r="H28" t="s">
        <v>490</v>
      </c>
      <c r="I28" t="s">
        <v>489</v>
      </c>
      <c r="J28" t="s">
        <v>490</v>
      </c>
      <c r="K28" t="s">
        <v>489</v>
      </c>
      <c r="L28" t="s">
        <v>489</v>
      </c>
      <c r="M28" t="s">
        <v>490</v>
      </c>
      <c r="N28" t="s">
        <v>489</v>
      </c>
      <c r="O28" t="s">
        <v>489</v>
      </c>
      <c r="P28" t="s">
        <v>490</v>
      </c>
      <c r="Q28" t="s">
        <v>490</v>
      </c>
      <c r="R28" t="s">
        <v>490</v>
      </c>
      <c r="S28" t="s">
        <v>489</v>
      </c>
    </row>
    <row r="29" spans="1:19">
      <c r="A29" t="s">
        <v>974</v>
      </c>
      <c r="B29" t="s">
        <v>489</v>
      </c>
      <c r="C29" t="s">
        <v>490</v>
      </c>
      <c r="D29" t="s">
        <v>490</v>
      </c>
      <c r="E29" t="s">
        <v>489</v>
      </c>
      <c r="F29" t="s">
        <v>490</v>
      </c>
      <c r="G29" t="s">
        <v>490</v>
      </c>
      <c r="H29" t="s">
        <v>490</v>
      </c>
      <c r="I29" t="s">
        <v>489</v>
      </c>
      <c r="J29" t="s">
        <v>490</v>
      </c>
      <c r="K29" t="s">
        <v>489</v>
      </c>
      <c r="L29" t="s">
        <v>489</v>
      </c>
      <c r="M29" t="s">
        <v>490</v>
      </c>
      <c r="N29" t="s">
        <v>489</v>
      </c>
      <c r="O29" t="s">
        <v>489</v>
      </c>
      <c r="P29" t="s">
        <v>490</v>
      </c>
      <c r="Q29" t="s">
        <v>490</v>
      </c>
      <c r="R29" t="s">
        <v>490</v>
      </c>
      <c r="S29" t="s">
        <v>489</v>
      </c>
    </row>
    <row r="30" spans="1:19">
      <c r="A30" t="s">
        <v>972</v>
      </c>
      <c r="B30" t="s">
        <v>489</v>
      </c>
      <c r="C30" t="s">
        <v>489</v>
      </c>
      <c r="D30" t="s">
        <v>490</v>
      </c>
      <c r="E30" t="s">
        <v>489</v>
      </c>
      <c r="F30" t="s">
        <v>489</v>
      </c>
      <c r="G30" t="s">
        <v>490</v>
      </c>
      <c r="H30" t="s">
        <v>489</v>
      </c>
      <c r="I30" t="s">
        <v>490</v>
      </c>
      <c r="J30" t="s">
        <v>490</v>
      </c>
      <c r="K30" t="s">
        <v>489</v>
      </c>
      <c r="L30" t="s">
        <v>489</v>
      </c>
      <c r="M30" t="s">
        <v>490</v>
      </c>
      <c r="N30" t="s">
        <v>489</v>
      </c>
      <c r="O30" t="s">
        <v>489</v>
      </c>
      <c r="P30" t="s">
        <v>490</v>
      </c>
      <c r="Q30" t="s">
        <v>490</v>
      </c>
      <c r="R30" t="s">
        <v>490</v>
      </c>
      <c r="S30" t="s">
        <v>489</v>
      </c>
    </row>
    <row r="31" spans="1:19">
      <c r="A31" t="s">
        <v>954</v>
      </c>
      <c r="B31" t="s">
        <v>489</v>
      </c>
      <c r="C31" t="s">
        <v>489</v>
      </c>
      <c r="D31" t="s">
        <v>490</v>
      </c>
      <c r="E31" t="s">
        <v>489</v>
      </c>
      <c r="F31" t="s">
        <v>489</v>
      </c>
      <c r="G31" t="s">
        <v>490</v>
      </c>
      <c r="H31" t="s">
        <v>490</v>
      </c>
      <c r="I31" t="s">
        <v>490</v>
      </c>
      <c r="J31" t="s">
        <v>489</v>
      </c>
      <c r="K31" t="s">
        <v>489</v>
      </c>
      <c r="L31" t="s">
        <v>489</v>
      </c>
      <c r="M31" t="s">
        <v>490</v>
      </c>
      <c r="N31" t="s">
        <v>489</v>
      </c>
      <c r="O31" t="s">
        <v>489</v>
      </c>
      <c r="P31" t="s">
        <v>490</v>
      </c>
      <c r="Q31" t="s">
        <v>490</v>
      </c>
      <c r="R31" t="s">
        <v>490</v>
      </c>
      <c r="S31" t="s">
        <v>489</v>
      </c>
    </row>
    <row r="32" spans="1:19">
      <c r="A32" t="s">
        <v>954</v>
      </c>
      <c r="B32" t="s">
        <v>489</v>
      </c>
      <c r="C32" t="s">
        <v>489</v>
      </c>
      <c r="D32" t="s">
        <v>490</v>
      </c>
      <c r="E32" t="s">
        <v>489</v>
      </c>
      <c r="F32" t="s">
        <v>489</v>
      </c>
      <c r="G32" t="s">
        <v>490</v>
      </c>
      <c r="H32" t="s">
        <v>490</v>
      </c>
      <c r="I32" t="s">
        <v>490</v>
      </c>
      <c r="J32" t="s">
        <v>489</v>
      </c>
      <c r="K32" t="s">
        <v>489</v>
      </c>
      <c r="L32" t="s">
        <v>489</v>
      </c>
      <c r="M32" t="s">
        <v>490</v>
      </c>
      <c r="N32" t="s">
        <v>489</v>
      </c>
      <c r="O32" t="s">
        <v>489</v>
      </c>
      <c r="P32" t="s">
        <v>490</v>
      </c>
      <c r="Q32" t="s">
        <v>490</v>
      </c>
      <c r="R32" t="s">
        <v>490</v>
      </c>
      <c r="S32" t="s">
        <v>489</v>
      </c>
    </row>
    <row r="33" spans="1:19">
      <c r="A33" t="s">
        <v>972</v>
      </c>
      <c r="B33" t="s">
        <v>489</v>
      </c>
      <c r="C33" t="s">
        <v>489</v>
      </c>
      <c r="D33" t="s">
        <v>490</v>
      </c>
      <c r="E33" t="s">
        <v>489</v>
      </c>
      <c r="F33" t="s">
        <v>489</v>
      </c>
      <c r="G33" t="s">
        <v>490</v>
      </c>
      <c r="H33" t="s">
        <v>490</v>
      </c>
      <c r="I33" t="s">
        <v>490</v>
      </c>
      <c r="J33" t="s">
        <v>489</v>
      </c>
      <c r="K33" t="s">
        <v>489</v>
      </c>
      <c r="L33" t="s">
        <v>489</v>
      </c>
      <c r="M33" t="s">
        <v>490</v>
      </c>
      <c r="N33" t="s">
        <v>489</v>
      </c>
      <c r="O33" t="s">
        <v>489</v>
      </c>
      <c r="P33" t="s">
        <v>490</v>
      </c>
      <c r="Q33" t="s">
        <v>490</v>
      </c>
      <c r="R33" t="s">
        <v>490</v>
      </c>
      <c r="S33" t="s">
        <v>489</v>
      </c>
    </row>
    <row r="34" spans="1:19">
      <c r="A34" t="s">
        <v>974</v>
      </c>
      <c r="B34" t="s">
        <v>489</v>
      </c>
      <c r="C34" t="s">
        <v>489</v>
      </c>
      <c r="D34" t="s">
        <v>490</v>
      </c>
      <c r="E34" t="s">
        <v>489</v>
      </c>
      <c r="F34" t="s">
        <v>489</v>
      </c>
      <c r="G34" t="s">
        <v>490</v>
      </c>
      <c r="H34" t="s">
        <v>490</v>
      </c>
      <c r="I34" t="s">
        <v>490</v>
      </c>
      <c r="J34" t="s">
        <v>489</v>
      </c>
      <c r="K34" t="s">
        <v>489</v>
      </c>
      <c r="L34" t="s">
        <v>489</v>
      </c>
      <c r="M34" t="s">
        <v>490</v>
      </c>
      <c r="N34" t="s">
        <v>489</v>
      </c>
      <c r="O34" t="s">
        <v>489</v>
      </c>
      <c r="P34" t="s">
        <v>490</v>
      </c>
      <c r="Q34" t="s">
        <v>490</v>
      </c>
      <c r="R34" t="s">
        <v>490</v>
      </c>
      <c r="S34" t="s">
        <v>489</v>
      </c>
    </row>
    <row r="35" spans="1:19">
      <c r="A35" t="s">
        <v>974</v>
      </c>
      <c r="B35" t="s">
        <v>489</v>
      </c>
      <c r="C35" t="s">
        <v>489</v>
      </c>
      <c r="D35" t="s">
        <v>490</v>
      </c>
      <c r="E35" t="s">
        <v>489</v>
      </c>
      <c r="F35" t="s">
        <v>489</v>
      </c>
      <c r="G35" t="s">
        <v>490</v>
      </c>
      <c r="H35" t="s">
        <v>490</v>
      </c>
      <c r="I35" t="s">
        <v>490</v>
      </c>
      <c r="J35" t="s">
        <v>489</v>
      </c>
      <c r="K35" t="s">
        <v>489</v>
      </c>
      <c r="L35" t="s">
        <v>489</v>
      </c>
      <c r="M35" t="s">
        <v>490</v>
      </c>
      <c r="N35" t="s">
        <v>489</v>
      </c>
      <c r="O35" t="s">
        <v>489</v>
      </c>
      <c r="P35" t="s">
        <v>490</v>
      </c>
      <c r="Q35" t="s">
        <v>490</v>
      </c>
      <c r="R35" t="s">
        <v>490</v>
      </c>
      <c r="S35" t="s">
        <v>489</v>
      </c>
    </row>
    <row r="36" spans="1:19">
      <c r="A36" t="s">
        <v>972</v>
      </c>
      <c r="B36" t="s">
        <v>489</v>
      </c>
      <c r="C36" t="s">
        <v>489</v>
      </c>
      <c r="D36" t="s">
        <v>490</v>
      </c>
      <c r="E36" t="s">
        <v>489</v>
      </c>
      <c r="F36" t="s">
        <v>489</v>
      </c>
      <c r="G36" t="s">
        <v>490</v>
      </c>
      <c r="H36" t="s">
        <v>490</v>
      </c>
      <c r="I36" t="s">
        <v>490</v>
      </c>
      <c r="J36" t="s">
        <v>489</v>
      </c>
      <c r="K36" t="s">
        <v>489</v>
      </c>
      <c r="L36" t="s">
        <v>489</v>
      </c>
      <c r="M36" t="s">
        <v>490</v>
      </c>
      <c r="N36" t="s">
        <v>489</v>
      </c>
      <c r="O36" t="s">
        <v>489</v>
      </c>
      <c r="P36" t="s">
        <v>490</v>
      </c>
      <c r="Q36" t="s">
        <v>490</v>
      </c>
      <c r="R36" t="s">
        <v>490</v>
      </c>
      <c r="S36" t="s">
        <v>489</v>
      </c>
    </row>
    <row r="37" spans="1:19">
      <c r="A37" t="s">
        <v>973</v>
      </c>
      <c r="B37" t="s">
        <v>489</v>
      </c>
      <c r="C37" t="s">
        <v>489</v>
      </c>
      <c r="D37" t="s">
        <v>490</v>
      </c>
      <c r="E37" t="s">
        <v>489</v>
      </c>
      <c r="F37" t="s">
        <v>489</v>
      </c>
      <c r="G37" t="s">
        <v>490</v>
      </c>
      <c r="H37" t="s">
        <v>490</v>
      </c>
      <c r="I37" t="s">
        <v>490</v>
      </c>
      <c r="J37" t="s">
        <v>489</v>
      </c>
      <c r="K37" t="s">
        <v>489</v>
      </c>
      <c r="L37" t="s">
        <v>489</v>
      </c>
      <c r="M37" t="s">
        <v>490</v>
      </c>
      <c r="N37" t="s">
        <v>489</v>
      </c>
      <c r="O37" t="s">
        <v>489</v>
      </c>
      <c r="P37" t="s">
        <v>490</v>
      </c>
      <c r="Q37" t="s">
        <v>490</v>
      </c>
      <c r="R37" t="s">
        <v>490</v>
      </c>
      <c r="S37" t="s">
        <v>489</v>
      </c>
    </row>
    <row r="38" spans="1:19">
      <c r="A38" t="s">
        <v>972</v>
      </c>
      <c r="B38" t="s">
        <v>489</v>
      </c>
      <c r="C38" t="s">
        <v>490</v>
      </c>
      <c r="D38" t="s">
        <v>490</v>
      </c>
      <c r="E38" t="s">
        <v>489</v>
      </c>
      <c r="F38" t="s">
        <v>489</v>
      </c>
      <c r="G38" t="s">
        <v>490</v>
      </c>
      <c r="H38" t="s">
        <v>490</v>
      </c>
      <c r="I38" t="s">
        <v>490</v>
      </c>
      <c r="J38" t="s">
        <v>489</v>
      </c>
      <c r="K38" t="s">
        <v>489</v>
      </c>
      <c r="L38" t="s">
        <v>489</v>
      </c>
      <c r="M38" t="s">
        <v>490</v>
      </c>
      <c r="N38" t="s">
        <v>489</v>
      </c>
      <c r="O38" t="s">
        <v>489</v>
      </c>
      <c r="P38" t="s">
        <v>490</v>
      </c>
      <c r="Q38" t="s">
        <v>490</v>
      </c>
      <c r="R38" t="s">
        <v>490</v>
      </c>
      <c r="S38" t="s">
        <v>489</v>
      </c>
    </row>
    <row r="39" spans="1:19">
      <c r="A39" t="s">
        <v>974</v>
      </c>
      <c r="B39" t="s">
        <v>490</v>
      </c>
      <c r="C39" t="s">
        <v>490</v>
      </c>
      <c r="D39" t="s">
        <v>489</v>
      </c>
      <c r="E39" t="s">
        <v>489</v>
      </c>
      <c r="F39" t="s">
        <v>489</v>
      </c>
      <c r="G39" t="s">
        <v>490</v>
      </c>
      <c r="H39" t="s">
        <v>490</v>
      </c>
      <c r="I39" t="s">
        <v>490</v>
      </c>
      <c r="J39" t="s">
        <v>489</v>
      </c>
      <c r="K39" t="s">
        <v>489</v>
      </c>
      <c r="L39" t="s">
        <v>489</v>
      </c>
      <c r="M39" t="s">
        <v>490</v>
      </c>
      <c r="N39" t="s">
        <v>489</v>
      </c>
      <c r="O39" t="s">
        <v>489</v>
      </c>
      <c r="P39" t="s">
        <v>490</v>
      </c>
      <c r="Q39" t="s">
        <v>490</v>
      </c>
      <c r="R39" t="s">
        <v>490</v>
      </c>
      <c r="S39" t="s">
        <v>489</v>
      </c>
    </row>
    <row r="40" spans="1:19">
      <c r="A40" t="s">
        <v>974</v>
      </c>
      <c r="B40" t="s">
        <v>490</v>
      </c>
      <c r="C40" t="s">
        <v>490</v>
      </c>
      <c r="D40" t="s">
        <v>489</v>
      </c>
      <c r="E40" t="s">
        <v>489</v>
      </c>
      <c r="F40" t="s">
        <v>489</v>
      </c>
      <c r="G40" t="s">
        <v>490</v>
      </c>
      <c r="H40" t="s">
        <v>490</v>
      </c>
      <c r="I40" t="s">
        <v>490</v>
      </c>
      <c r="J40" t="s">
        <v>489</v>
      </c>
      <c r="K40" t="s">
        <v>489</v>
      </c>
      <c r="L40" t="s">
        <v>489</v>
      </c>
      <c r="M40" t="s">
        <v>490</v>
      </c>
      <c r="N40" t="s">
        <v>489</v>
      </c>
      <c r="O40" t="s">
        <v>489</v>
      </c>
      <c r="P40" t="s">
        <v>490</v>
      </c>
      <c r="Q40" t="s">
        <v>490</v>
      </c>
      <c r="R40" t="s">
        <v>490</v>
      </c>
      <c r="S40" t="s">
        <v>489</v>
      </c>
    </row>
    <row r="41" spans="1:19">
      <c r="A41" t="s">
        <v>974</v>
      </c>
      <c r="B41" t="s">
        <v>490</v>
      </c>
      <c r="C41" t="s">
        <v>490</v>
      </c>
      <c r="D41" t="s">
        <v>489</v>
      </c>
      <c r="E41" t="s">
        <v>489</v>
      </c>
      <c r="F41" t="s">
        <v>489</v>
      </c>
      <c r="G41" t="s">
        <v>490</v>
      </c>
      <c r="H41" t="s">
        <v>490</v>
      </c>
      <c r="I41" t="s">
        <v>490</v>
      </c>
      <c r="J41" t="s">
        <v>489</v>
      </c>
      <c r="K41" t="s">
        <v>489</v>
      </c>
      <c r="L41" t="s">
        <v>489</v>
      </c>
      <c r="M41" t="s">
        <v>490</v>
      </c>
      <c r="N41" t="s">
        <v>489</v>
      </c>
      <c r="O41" t="s">
        <v>489</v>
      </c>
      <c r="P41" t="s">
        <v>490</v>
      </c>
      <c r="Q41" t="s">
        <v>490</v>
      </c>
      <c r="R41" t="s">
        <v>490</v>
      </c>
      <c r="S41" t="s">
        <v>489</v>
      </c>
    </row>
    <row r="42" spans="1:19">
      <c r="A42" t="s">
        <v>974</v>
      </c>
      <c r="B42" t="s">
        <v>489</v>
      </c>
      <c r="C42" t="s">
        <v>490</v>
      </c>
      <c r="D42" t="s">
        <v>490</v>
      </c>
      <c r="E42" t="s">
        <v>490</v>
      </c>
      <c r="F42" t="s">
        <v>489</v>
      </c>
      <c r="G42" t="s">
        <v>490</v>
      </c>
      <c r="H42" t="s">
        <v>490</v>
      </c>
      <c r="I42" t="s">
        <v>490</v>
      </c>
      <c r="J42" t="s">
        <v>489</v>
      </c>
      <c r="K42" t="s">
        <v>489</v>
      </c>
      <c r="L42" t="s">
        <v>489</v>
      </c>
      <c r="M42" t="s">
        <v>490</v>
      </c>
      <c r="N42" t="s">
        <v>489</v>
      </c>
      <c r="O42" t="s">
        <v>489</v>
      </c>
      <c r="P42" t="s">
        <v>490</v>
      </c>
      <c r="Q42" t="s">
        <v>490</v>
      </c>
      <c r="R42" t="s">
        <v>490</v>
      </c>
      <c r="S42" t="s">
        <v>489</v>
      </c>
    </row>
    <row r="43" spans="1:19">
      <c r="A43" t="s">
        <v>972</v>
      </c>
      <c r="B43" t="s">
        <v>489</v>
      </c>
      <c r="C43" t="s">
        <v>489</v>
      </c>
      <c r="D43" t="s">
        <v>490</v>
      </c>
      <c r="E43" t="s">
        <v>489</v>
      </c>
      <c r="F43" t="s">
        <v>490</v>
      </c>
      <c r="G43" t="s">
        <v>490</v>
      </c>
      <c r="H43" t="s">
        <v>490</v>
      </c>
      <c r="I43" t="s">
        <v>490</v>
      </c>
      <c r="J43" t="s">
        <v>489</v>
      </c>
      <c r="K43" t="s">
        <v>489</v>
      </c>
      <c r="L43" t="s">
        <v>489</v>
      </c>
      <c r="M43" t="s">
        <v>490</v>
      </c>
      <c r="N43" t="s">
        <v>489</v>
      </c>
      <c r="O43" t="s">
        <v>489</v>
      </c>
      <c r="P43" t="s">
        <v>490</v>
      </c>
      <c r="Q43" t="s">
        <v>490</v>
      </c>
      <c r="R43" t="s">
        <v>490</v>
      </c>
      <c r="S43" t="s">
        <v>489</v>
      </c>
    </row>
    <row r="44" spans="1:19">
      <c r="A44" t="s">
        <v>974</v>
      </c>
      <c r="B44" t="s">
        <v>489</v>
      </c>
      <c r="C44" t="s">
        <v>489</v>
      </c>
      <c r="D44" t="s">
        <v>490</v>
      </c>
      <c r="E44" t="s">
        <v>489</v>
      </c>
      <c r="F44" t="s">
        <v>490</v>
      </c>
      <c r="G44" t="s">
        <v>490</v>
      </c>
      <c r="H44" t="s">
        <v>490</v>
      </c>
      <c r="I44" t="s">
        <v>490</v>
      </c>
      <c r="J44" t="s">
        <v>489</v>
      </c>
      <c r="K44" t="s">
        <v>489</v>
      </c>
      <c r="L44" t="s">
        <v>489</v>
      </c>
      <c r="M44" t="s">
        <v>490</v>
      </c>
      <c r="N44" t="s">
        <v>489</v>
      </c>
      <c r="O44" t="s">
        <v>489</v>
      </c>
      <c r="P44" t="s">
        <v>490</v>
      </c>
      <c r="Q44" t="s">
        <v>490</v>
      </c>
      <c r="R44" t="s">
        <v>490</v>
      </c>
      <c r="S44" t="s">
        <v>489</v>
      </c>
    </row>
    <row r="45" spans="1:19">
      <c r="A45" t="s">
        <v>972</v>
      </c>
      <c r="B45" t="s">
        <v>489</v>
      </c>
      <c r="C45" t="s">
        <v>490</v>
      </c>
      <c r="D45" t="s">
        <v>490</v>
      </c>
      <c r="E45" t="s">
        <v>489</v>
      </c>
      <c r="F45" t="s">
        <v>490</v>
      </c>
      <c r="G45" t="s">
        <v>490</v>
      </c>
      <c r="H45" t="s">
        <v>490</v>
      </c>
      <c r="I45" t="s">
        <v>490</v>
      </c>
      <c r="J45" t="s">
        <v>489</v>
      </c>
      <c r="K45" t="s">
        <v>489</v>
      </c>
      <c r="L45" t="s">
        <v>489</v>
      </c>
      <c r="M45" t="s">
        <v>490</v>
      </c>
      <c r="N45" t="s">
        <v>489</v>
      </c>
      <c r="O45" t="s">
        <v>489</v>
      </c>
      <c r="P45" t="s">
        <v>490</v>
      </c>
      <c r="Q45" t="s">
        <v>490</v>
      </c>
      <c r="R45" t="s">
        <v>490</v>
      </c>
      <c r="S45" t="s">
        <v>489</v>
      </c>
    </row>
    <row r="46" spans="1:19">
      <c r="A46" t="s">
        <v>972</v>
      </c>
      <c r="B46" t="s">
        <v>489</v>
      </c>
      <c r="C46" t="s">
        <v>490</v>
      </c>
      <c r="D46" t="s">
        <v>490</v>
      </c>
      <c r="E46" t="s">
        <v>489</v>
      </c>
      <c r="F46" t="s">
        <v>490</v>
      </c>
      <c r="G46" t="s">
        <v>490</v>
      </c>
      <c r="H46" t="s">
        <v>490</v>
      </c>
      <c r="I46" t="s">
        <v>490</v>
      </c>
      <c r="J46" t="s">
        <v>489</v>
      </c>
      <c r="K46" t="s">
        <v>489</v>
      </c>
      <c r="L46" t="s">
        <v>489</v>
      </c>
      <c r="M46" t="s">
        <v>490</v>
      </c>
      <c r="N46" t="s">
        <v>489</v>
      </c>
      <c r="O46" t="s">
        <v>489</v>
      </c>
      <c r="P46" t="s">
        <v>490</v>
      </c>
      <c r="Q46" t="s">
        <v>490</v>
      </c>
      <c r="R46" t="s">
        <v>490</v>
      </c>
      <c r="S46" t="s">
        <v>489</v>
      </c>
    </row>
    <row r="47" spans="1:19">
      <c r="A47" t="s">
        <v>972</v>
      </c>
      <c r="B47" t="s">
        <v>489</v>
      </c>
      <c r="C47" t="s">
        <v>490</v>
      </c>
      <c r="D47" t="s">
        <v>490</v>
      </c>
      <c r="E47" t="s">
        <v>489</v>
      </c>
      <c r="F47" t="s">
        <v>490</v>
      </c>
      <c r="G47" t="s">
        <v>490</v>
      </c>
      <c r="H47" t="s">
        <v>490</v>
      </c>
      <c r="I47" t="s">
        <v>490</v>
      </c>
      <c r="J47" t="s">
        <v>489</v>
      </c>
      <c r="K47" t="s">
        <v>489</v>
      </c>
      <c r="L47" t="s">
        <v>489</v>
      </c>
      <c r="M47" t="s">
        <v>490</v>
      </c>
      <c r="N47" t="s">
        <v>489</v>
      </c>
      <c r="O47" t="s">
        <v>489</v>
      </c>
      <c r="P47" t="s">
        <v>490</v>
      </c>
      <c r="Q47" t="s">
        <v>490</v>
      </c>
      <c r="R47" t="s">
        <v>490</v>
      </c>
      <c r="S47" t="s">
        <v>489</v>
      </c>
    </row>
    <row r="48" spans="1:19">
      <c r="A48" t="s">
        <v>974</v>
      </c>
      <c r="B48" t="s">
        <v>489</v>
      </c>
      <c r="C48" t="s">
        <v>490</v>
      </c>
      <c r="D48" t="s">
        <v>490</v>
      </c>
      <c r="E48" t="s">
        <v>489</v>
      </c>
      <c r="F48" t="s">
        <v>490</v>
      </c>
      <c r="G48" t="s">
        <v>490</v>
      </c>
      <c r="H48" t="s">
        <v>490</v>
      </c>
      <c r="I48" t="s">
        <v>490</v>
      </c>
      <c r="J48" t="s">
        <v>489</v>
      </c>
      <c r="K48" t="s">
        <v>489</v>
      </c>
      <c r="L48" t="s">
        <v>489</v>
      </c>
      <c r="M48" t="s">
        <v>490</v>
      </c>
      <c r="N48" t="s">
        <v>489</v>
      </c>
      <c r="O48" t="s">
        <v>489</v>
      </c>
      <c r="P48" t="s">
        <v>490</v>
      </c>
      <c r="Q48" t="s">
        <v>490</v>
      </c>
      <c r="R48" t="s">
        <v>490</v>
      </c>
      <c r="S48" t="s">
        <v>489</v>
      </c>
    </row>
    <row r="49" spans="1:19">
      <c r="A49" t="s">
        <v>972</v>
      </c>
      <c r="B49" t="s">
        <v>490</v>
      </c>
      <c r="C49" t="s">
        <v>490</v>
      </c>
      <c r="D49" t="s">
        <v>489</v>
      </c>
      <c r="E49" t="s">
        <v>489</v>
      </c>
      <c r="F49" t="s">
        <v>490</v>
      </c>
      <c r="G49" t="s">
        <v>490</v>
      </c>
      <c r="H49" t="s">
        <v>490</v>
      </c>
      <c r="I49" t="s">
        <v>490</v>
      </c>
      <c r="J49" t="s">
        <v>489</v>
      </c>
      <c r="K49" t="s">
        <v>489</v>
      </c>
      <c r="L49" t="s">
        <v>489</v>
      </c>
      <c r="M49" t="s">
        <v>490</v>
      </c>
      <c r="N49" t="s">
        <v>489</v>
      </c>
      <c r="O49" t="s">
        <v>489</v>
      </c>
      <c r="P49" t="s">
        <v>490</v>
      </c>
      <c r="Q49" t="s">
        <v>490</v>
      </c>
      <c r="R49" t="s">
        <v>490</v>
      </c>
      <c r="S49" t="s">
        <v>489</v>
      </c>
    </row>
    <row r="50" spans="1:19">
      <c r="A50" t="s">
        <v>972</v>
      </c>
      <c r="B50" t="s">
        <v>490</v>
      </c>
      <c r="C50" t="s">
        <v>490</v>
      </c>
      <c r="D50" t="s">
        <v>489</v>
      </c>
      <c r="E50" t="s">
        <v>489</v>
      </c>
      <c r="F50" t="s">
        <v>490</v>
      </c>
      <c r="G50" t="s">
        <v>490</v>
      </c>
      <c r="H50" t="s">
        <v>490</v>
      </c>
      <c r="I50" t="s">
        <v>490</v>
      </c>
      <c r="J50" t="s">
        <v>489</v>
      </c>
      <c r="K50" t="s">
        <v>489</v>
      </c>
      <c r="L50" t="s">
        <v>489</v>
      </c>
      <c r="M50" t="s">
        <v>490</v>
      </c>
      <c r="N50" t="s">
        <v>489</v>
      </c>
      <c r="O50" t="s">
        <v>489</v>
      </c>
      <c r="P50" t="s">
        <v>490</v>
      </c>
      <c r="Q50" t="s">
        <v>490</v>
      </c>
      <c r="R50" t="s">
        <v>490</v>
      </c>
      <c r="S50" t="s">
        <v>489</v>
      </c>
    </row>
    <row r="51" spans="1:19">
      <c r="A51" t="s">
        <v>972</v>
      </c>
      <c r="B51" t="s">
        <v>490</v>
      </c>
      <c r="C51" t="s">
        <v>490</v>
      </c>
      <c r="D51" t="s">
        <v>489</v>
      </c>
      <c r="E51" t="s">
        <v>489</v>
      </c>
      <c r="F51" t="s">
        <v>490</v>
      </c>
      <c r="G51" t="s">
        <v>490</v>
      </c>
      <c r="H51" t="s">
        <v>490</v>
      </c>
      <c r="I51" t="s">
        <v>490</v>
      </c>
      <c r="J51" t="s">
        <v>489</v>
      </c>
      <c r="K51" t="s">
        <v>489</v>
      </c>
      <c r="L51" t="s">
        <v>489</v>
      </c>
      <c r="M51" t="s">
        <v>490</v>
      </c>
      <c r="N51" t="s">
        <v>489</v>
      </c>
      <c r="O51" t="s">
        <v>489</v>
      </c>
      <c r="P51" t="s">
        <v>490</v>
      </c>
      <c r="Q51" t="s">
        <v>490</v>
      </c>
      <c r="R51" t="s">
        <v>490</v>
      </c>
      <c r="S51" t="s">
        <v>489</v>
      </c>
    </row>
    <row r="52" spans="1:19">
      <c r="A52" t="s">
        <v>972</v>
      </c>
      <c r="B52" t="s">
        <v>489</v>
      </c>
      <c r="C52" t="s">
        <v>489</v>
      </c>
      <c r="D52" t="s">
        <v>490</v>
      </c>
      <c r="E52" t="s">
        <v>490</v>
      </c>
      <c r="F52" t="s">
        <v>490</v>
      </c>
      <c r="G52" t="s">
        <v>489</v>
      </c>
      <c r="H52" t="s">
        <v>490</v>
      </c>
      <c r="I52" t="s">
        <v>490</v>
      </c>
      <c r="J52" t="s">
        <v>489</v>
      </c>
      <c r="K52" t="s">
        <v>489</v>
      </c>
      <c r="L52" t="s">
        <v>489</v>
      </c>
      <c r="M52" t="s">
        <v>490</v>
      </c>
      <c r="N52" t="s">
        <v>489</v>
      </c>
      <c r="O52" t="s">
        <v>489</v>
      </c>
      <c r="P52" t="s">
        <v>490</v>
      </c>
      <c r="Q52" t="s">
        <v>490</v>
      </c>
      <c r="R52" t="s">
        <v>490</v>
      </c>
      <c r="S52" t="s">
        <v>489</v>
      </c>
    </row>
    <row r="53" spans="1:19">
      <c r="A53" t="s">
        <v>972</v>
      </c>
      <c r="B53" t="s">
        <v>489</v>
      </c>
      <c r="C53" t="s">
        <v>489</v>
      </c>
      <c r="D53" t="s">
        <v>490</v>
      </c>
      <c r="E53" t="s">
        <v>490</v>
      </c>
      <c r="F53" t="s">
        <v>490</v>
      </c>
      <c r="G53" t="s">
        <v>489</v>
      </c>
      <c r="H53" t="s">
        <v>490</v>
      </c>
      <c r="I53" t="s">
        <v>490</v>
      </c>
      <c r="J53" t="s">
        <v>489</v>
      </c>
      <c r="K53" t="s">
        <v>489</v>
      </c>
      <c r="L53" t="s">
        <v>489</v>
      </c>
      <c r="M53" t="s">
        <v>490</v>
      </c>
      <c r="N53" t="s">
        <v>489</v>
      </c>
      <c r="O53" t="s">
        <v>489</v>
      </c>
      <c r="P53" t="s">
        <v>490</v>
      </c>
      <c r="Q53" t="s">
        <v>490</v>
      </c>
      <c r="R53" t="s">
        <v>490</v>
      </c>
      <c r="S53" t="s">
        <v>489</v>
      </c>
    </row>
    <row r="54" spans="1:19">
      <c r="A54" t="s">
        <v>972</v>
      </c>
      <c r="B54" t="s">
        <v>489</v>
      </c>
      <c r="C54" t="s">
        <v>490</v>
      </c>
      <c r="D54" t="s">
        <v>490</v>
      </c>
      <c r="E54" t="s">
        <v>490</v>
      </c>
      <c r="F54" t="s">
        <v>490</v>
      </c>
      <c r="G54" t="s">
        <v>489</v>
      </c>
      <c r="H54" t="s">
        <v>490</v>
      </c>
      <c r="I54" t="s">
        <v>490</v>
      </c>
      <c r="J54" t="s">
        <v>489</v>
      </c>
      <c r="K54" t="s">
        <v>489</v>
      </c>
      <c r="L54" t="s">
        <v>489</v>
      </c>
      <c r="M54" t="s">
        <v>490</v>
      </c>
      <c r="N54" t="s">
        <v>489</v>
      </c>
      <c r="O54" t="s">
        <v>489</v>
      </c>
      <c r="P54" t="s">
        <v>490</v>
      </c>
      <c r="Q54" t="s">
        <v>490</v>
      </c>
      <c r="R54" t="s">
        <v>490</v>
      </c>
      <c r="S54" t="s">
        <v>489</v>
      </c>
    </row>
    <row r="55" spans="1:19">
      <c r="A55" t="s">
        <v>972</v>
      </c>
      <c r="B55" t="s">
        <v>490</v>
      </c>
      <c r="C55" t="s">
        <v>490</v>
      </c>
      <c r="D55" t="s">
        <v>489</v>
      </c>
      <c r="E55" t="s">
        <v>490</v>
      </c>
      <c r="F55" t="s">
        <v>490</v>
      </c>
      <c r="G55" t="s">
        <v>489</v>
      </c>
      <c r="H55" t="s">
        <v>490</v>
      </c>
      <c r="I55" t="s">
        <v>490</v>
      </c>
      <c r="J55" t="s">
        <v>489</v>
      </c>
      <c r="K55" t="s">
        <v>489</v>
      </c>
      <c r="L55" t="s">
        <v>489</v>
      </c>
      <c r="M55" t="s">
        <v>490</v>
      </c>
      <c r="N55" t="s">
        <v>489</v>
      </c>
      <c r="O55" t="s">
        <v>489</v>
      </c>
      <c r="P55" t="s">
        <v>490</v>
      </c>
      <c r="Q55" t="s">
        <v>490</v>
      </c>
      <c r="R55" t="s">
        <v>490</v>
      </c>
      <c r="S55" t="s">
        <v>489</v>
      </c>
    </row>
    <row r="56" spans="1:19">
      <c r="A56" t="s">
        <v>972</v>
      </c>
      <c r="B56" t="s">
        <v>490</v>
      </c>
      <c r="C56" t="s">
        <v>490</v>
      </c>
      <c r="D56" t="s">
        <v>489</v>
      </c>
      <c r="E56" t="s">
        <v>490</v>
      </c>
      <c r="F56" t="s">
        <v>490</v>
      </c>
      <c r="G56" t="s">
        <v>489</v>
      </c>
      <c r="H56" t="s">
        <v>490</v>
      </c>
      <c r="I56" t="s">
        <v>490</v>
      </c>
      <c r="J56" t="s">
        <v>489</v>
      </c>
      <c r="K56" t="s">
        <v>489</v>
      </c>
      <c r="L56" t="s">
        <v>489</v>
      </c>
      <c r="M56" t="s">
        <v>490</v>
      </c>
      <c r="N56" t="s">
        <v>489</v>
      </c>
      <c r="O56" t="s">
        <v>489</v>
      </c>
      <c r="P56" t="s">
        <v>490</v>
      </c>
      <c r="Q56" t="s">
        <v>490</v>
      </c>
      <c r="R56" t="s">
        <v>490</v>
      </c>
      <c r="S56" t="s">
        <v>489</v>
      </c>
    </row>
    <row r="57" spans="1:19">
      <c r="A57" t="s">
        <v>972</v>
      </c>
      <c r="B57" t="s">
        <v>490</v>
      </c>
      <c r="C57" t="s">
        <v>490</v>
      </c>
      <c r="D57" t="s">
        <v>489</v>
      </c>
      <c r="E57" t="s">
        <v>490</v>
      </c>
      <c r="F57" t="s">
        <v>490</v>
      </c>
      <c r="G57" t="s">
        <v>489</v>
      </c>
      <c r="H57" t="s">
        <v>490</v>
      </c>
      <c r="I57" t="s">
        <v>490</v>
      </c>
      <c r="J57" t="s">
        <v>489</v>
      </c>
      <c r="K57" t="s">
        <v>489</v>
      </c>
      <c r="L57" t="s">
        <v>489</v>
      </c>
      <c r="M57" t="s">
        <v>490</v>
      </c>
      <c r="N57" t="s">
        <v>489</v>
      </c>
      <c r="O57" t="s">
        <v>489</v>
      </c>
      <c r="P57" t="s">
        <v>490</v>
      </c>
      <c r="Q57" t="s">
        <v>490</v>
      </c>
      <c r="R57" t="s">
        <v>490</v>
      </c>
      <c r="S57" t="s">
        <v>489</v>
      </c>
    </row>
    <row r="58" spans="1:19">
      <c r="A58" t="s">
        <v>972</v>
      </c>
      <c r="B58" t="s">
        <v>490</v>
      </c>
      <c r="C58" t="s">
        <v>490</v>
      </c>
      <c r="D58" t="s">
        <v>489</v>
      </c>
      <c r="E58" t="s">
        <v>490</v>
      </c>
      <c r="F58" t="s">
        <v>490</v>
      </c>
      <c r="G58" t="s">
        <v>489</v>
      </c>
      <c r="H58" t="s">
        <v>490</v>
      </c>
      <c r="I58" t="s">
        <v>490</v>
      </c>
      <c r="J58" t="s">
        <v>489</v>
      </c>
      <c r="K58" t="s">
        <v>489</v>
      </c>
      <c r="L58" t="s">
        <v>489</v>
      </c>
      <c r="M58" t="s">
        <v>490</v>
      </c>
      <c r="N58" t="s">
        <v>489</v>
      </c>
      <c r="O58" t="s">
        <v>489</v>
      </c>
      <c r="P58" t="s">
        <v>490</v>
      </c>
      <c r="Q58" t="s">
        <v>490</v>
      </c>
      <c r="R58" t="s">
        <v>490</v>
      </c>
      <c r="S58" t="s">
        <v>489</v>
      </c>
    </row>
    <row r="59" spans="1:19">
      <c r="A59" t="s">
        <v>972</v>
      </c>
      <c r="B59" t="s">
        <v>490</v>
      </c>
      <c r="C59" t="s">
        <v>490</v>
      </c>
      <c r="D59" t="s">
        <v>489</v>
      </c>
      <c r="E59" t="s">
        <v>490</v>
      </c>
      <c r="F59" t="s">
        <v>490</v>
      </c>
      <c r="G59" t="s">
        <v>489</v>
      </c>
      <c r="H59" t="s">
        <v>490</v>
      </c>
      <c r="I59" t="s">
        <v>490</v>
      </c>
      <c r="J59" t="s">
        <v>489</v>
      </c>
      <c r="K59" t="s">
        <v>489</v>
      </c>
      <c r="L59" t="s">
        <v>489</v>
      </c>
      <c r="M59" t="s">
        <v>490</v>
      </c>
      <c r="N59" t="s">
        <v>489</v>
      </c>
      <c r="O59" t="s">
        <v>489</v>
      </c>
      <c r="P59" t="s">
        <v>490</v>
      </c>
      <c r="Q59" t="s">
        <v>490</v>
      </c>
      <c r="R59" t="s">
        <v>490</v>
      </c>
      <c r="S59" t="s">
        <v>489</v>
      </c>
    </row>
    <row r="60" spans="1:19">
      <c r="A60" t="s">
        <v>972</v>
      </c>
      <c r="B60" t="s">
        <v>490</v>
      </c>
      <c r="C60" t="s">
        <v>490</v>
      </c>
      <c r="D60" t="s">
        <v>489</v>
      </c>
      <c r="E60" t="s">
        <v>490</v>
      </c>
      <c r="F60" t="s">
        <v>490</v>
      </c>
      <c r="G60" t="s">
        <v>489</v>
      </c>
      <c r="H60" t="s">
        <v>490</v>
      </c>
      <c r="I60" t="s">
        <v>490</v>
      </c>
      <c r="J60" t="s">
        <v>489</v>
      </c>
      <c r="K60" t="s">
        <v>490</v>
      </c>
      <c r="L60" t="s">
        <v>489</v>
      </c>
      <c r="M60" t="s">
        <v>490</v>
      </c>
      <c r="N60" t="s">
        <v>489</v>
      </c>
      <c r="O60" t="s">
        <v>489</v>
      </c>
      <c r="P60" t="s">
        <v>490</v>
      </c>
      <c r="Q60" t="s">
        <v>490</v>
      </c>
      <c r="R60" t="s">
        <v>490</v>
      </c>
      <c r="S60" t="s">
        <v>489</v>
      </c>
    </row>
    <row r="61" spans="1:19">
      <c r="A61" t="s">
        <v>973</v>
      </c>
      <c r="B61" t="s">
        <v>490</v>
      </c>
      <c r="C61" t="s">
        <v>490</v>
      </c>
      <c r="D61" t="s">
        <v>489</v>
      </c>
      <c r="E61" t="s">
        <v>490</v>
      </c>
      <c r="F61" t="s">
        <v>489</v>
      </c>
      <c r="G61" t="s">
        <v>490</v>
      </c>
      <c r="H61" t="s">
        <v>490</v>
      </c>
      <c r="I61" t="s">
        <v>490</v>
      </c>
      <c r="J61" t="s">
        <v>489</v>
      </c>
      <c r="K61" t="s">
        <v>490</v>
      </c>
      <c r="L61" t="s">
        <v>489</v>
      </c>
      <c r="M61" t="s">
        <v>490</v>
      </c>
      <c r="N61" t="s">
        <v>490</v>
      </c>
      <c r="O61" t="s">
        <v>489</v>
      </c>
      <c r="P61" t="s">
        <v>490</v>
      </c>
      <c r="Q61" t="s">
        <v>490</v>
      </c>
      <c r="R61" t="s">
        <v>490</v>
      </c>
      <c r="S61" t="s">
        <v>489</v>
      </c>
    </row>
    <row r="62" spans="1:19">
      <c r="A62" t="s">
        <v>972</v>
      </c>
      <c r="B62" t="s">
        <v>490</v>
      </c>
      <c r="C62" t="s">
        <v>490</v>
      </c>
      <c r="D62" t="s">
        <v>489</v>
      </c>
      <c r="E62" t="s">
        <v>490</v>
      </c>
      <c r="F62" t="s">
        <v>489</v>
      </c>
      <c r="G62" t="s">
        <v>490</v>
      </c>
      <c r="H62" t="s">
        <v>490</v>
      </c>
      <c r="I62" t="s">
        <v>490</v>
      </c>
      <c r="J62" t="s">
        <v>489</v>
      </c>
      <c r="K62" t="s">
        <v>490</v>
      </c>
      <c r="L62" t="s">
        <v>489</v>
      </c>
      <c r="M62" t="s">
        <v>490</v>
      </c>
      <c r="N62" t="s">
        <v>490</v>
      </c>
      <c r="O62" t="s">
        <v>489</v>
      </c>
      <c r="P62" t="s">
        <v>490</v>
      </c>
      <c r="Q62" t="s">
        <v>490</v>
      </c>
      <c r="R62" t="s">
        <v>490</v>
      </c>
      <c r="S62" t="s">
        <v>489</v>
      </c>
    </row>
    <row r="63" spans="1:19">
      <c r="A63" t="s">
        <v>954</v>
      </c>
      <c r="B63" t="s">
        <v>490</v>
      </c>
      <c r="C63" t="s">
        <v>490</v>
      </c>
      <c r="D63" t="s">
        <v>489</v>
      </c>
      <c r="E63" t="s">
        <v>490</v>
      </c>
      <c r="F63" t="s">
        <v>489</v>
      </c>
      <c r="G63" t="s">
        <v>490</v>
      </c>
      <c r="H63" t="s">
        <v>490</v>
      </c>
      <c r="I63" t="s">
        <v>490</v>
      </c>
      <c r="J63" t="s">
        <v>489</v>
      </c>
      <c r="K63" t="s">
        <v>490</v>
      </c>
      <c r="L63" t="s">
        <v>489</v>
      </c>
      <c r="M63" t="s">
        <v>490</v>
      </c>
      <c r="N63" t="s">
        <v>490</v>
      </c>
      <c r="O63" t="s">
        <v>489</v>
      </c>
      <c r="P63" t="s">
        <v>490</v>
      </c>
      <c r="Q63" t="s">
        <v>490</v>
      </c>
      <c r="R63" t="s">
        <v>490</v>
      </c>
      <c r="S63" t="s">
        <v>489</v>
      </c>
    </row>
    <row r="64" spans="1:19">
      <c r="A64" t="s">
        <v>972</v>
      </c>
      <c r="B64" t="s">
        <v>490</v>
      </c>
      <c r="C64" t="s">
        <v>490</v>
      </c>
      <c r="D64" t="s">
        <v>489</v>
      </c>
      <c r="E64" t="s">
        <v>490</v>
      </c>
      <c r="F64" t="s">
        <v>490</v>
      </c>
      <c r="G64" t="s">
        <v>489</v>
      </c>
      <c r="H64" t="s">
        <v>490</v>
      </c>
      <c r="I64" t="s">
        <v>490</v>
      </c>
      <c r="J64" t="s">
        <v>489</v>
      </c>
      <c r="K64" t="s">
        <v>490</v>
      </c>
      <c r="L64" t="s">
        <v>489</v>
      </c>
      <c r="M64" t="s">
        <v>490</v>
      </c>
      <c r="N64" t="s">
        <v>490</v>
      </c>
      <c r="O64" t="s">
        <v>489</v>
      </c>
      <c r="P64" t="s">
        <v>490</v>
      </c>
      <c r="Q64" t="s">
        <v>490</v>
      </c>
      <c r="R64" t="s">
        <v>490</v>
      </c>
      <c r="S64" t="s">
        <v>489</v>
      </c>
    </row>
    <row r="65" spans="1:19">
      <c r="A65" t="s">
        <v>973</v>
      </c>
      <c r="B65" t="s">
        <v>490</v>
      </c>
      <c r="C65" t="s">
        <v>490</v>
      </c>
      <c r="D65" t="s">
        <v>489</v>
      </c>
      <c r="E65" t="s">
        <v>489</v>
      </c>
      <c r="F65" t="s">
        <v>489</v>
      </c>
      <c r="G65" t="s">
        <v>490</v>
      </c>
      <c r="H65" t="s">
        <v>490</v>
      </c>
      <c r="I65" t="s">
        <v>490</v>
      </c>
      <c r="J65" t="s">
        <v>489</v>
      </c>
      <c r="K65" t="s">
        <v>490</v>
      </c>
      <c r="L65" t="s">
        <v>490</v>
      </c>
      <c r="M65" t="s">
        <v>489</v>
      </c>
      <c r="N65" t="s">
        <v>490</v>
      </c>
      <c r="O65" t="s">
        <v>489</v>
      </c>
      <c r="P65" t="s">
        <v>490</v>
      </c>
      <c r="Q65" t="s">
        <v>490</v>
      </c>
      <c r="R65" t="s">
        <v>490</v>
      </c>
      <c r="S65" t="s">
        <v>489</v>
      </c>
    </row>
    <row r="66" spans="1:19">
      <c r="A66" t="s">
        <v>974</v>
      </c>
      <c r="B66" t="s">
        <v>489</v>
      </c>
      <c r="C66" t="s">
        <v>490</v>
      </c>
      <c r="D66" t="s">
        <v>490</v>
      </c>
      <c r="E66" t="s">
        <v>489</v>
      </c>
      <c r="F66" t="s">
        <v>490</v>
      </c>
      <c r="G66" t="s">
        <v>490</v>
      </c>
      <c r="H66" t="s">
        <v>490</v>
      </c>
      <c r="I66" t="s">
        <v>490</v>
      </c>
      <c r="J66" t="s">
        <v>489</v>
      </c>
      <c r="K66" t="s">
        <v>489</v>
      </c>
      <c r="L66" t="s">
        <v>489</v>
      </c>
      <c r="M66" t="s">
        <v>490</v>
      </c>
      <c r="N66" t="s">
        <v>489</v>
      </c>
      <c r="O66" t="s">
        <v>490</v>
      </c>
      <c r="P66" t="s">
        <v>490</v>
      </c>
      <c r="Q66" t="s">
        <v>490</v>
      </c>
      <c r="R66" t="s">
        <v>490</v>
      </c>
      <c r="S66" t="s">
        <v>489</v>
      </c>
    </row>
    <row r="67" spans="1:19">
      <c r="A67" t="s">
        <v>974</v>
      </c>
      <c r="B67" t="s">
        <v>490</v>
      </c>
      <c r="C67" t="s">
        <v>490</v>
      </c>
      <c r="D67" t="s">
        <v>489</v>
      </c>
      <c r="E67" t="s">
        <v>489</v>
      </c>
      <c r="F67" t="s">
        <v>490</v>
      </c>
      <c r="G67" t="s">
        <v>490</v>
      </c>
      <c r="H67" t="s">
        <v>490</v>
      </c>
      <c r="I67" t="s">
        <v>490</v>
      </c>
      <c r="J67" t="s">
        <v>489</v>
      </c>
      <c r="K67" t="s">
        <v>489</v>
      </c>
      <c r="L67" t="s">
        <v>489</v>
      </c>
      <c r="M67" t="s">
        <v>490</v>
      </c>
      <c r="N67" t="s">
        <v>489</v>
      </c>
      <c r="O67" t="s">
        <v>490</v>
      </c>
      <c r="P67" t="s">
        <v>490</v>
      </c>
      <c r="Q67" t="s">
        <v>490</v>
      </c>
      <c r="R67" t="s">
        <v>490</v>
      </c>
      <c r="S67" t="s">
        <v>489</v>
      </c>
    </row>
    <row r="68" spans="1:19">
      <c r="A68" t="s">
        <v>974</v>
      </c>
      <c r="B68" t="s">
        <v>490</v>
      </c>
      <c r="C68" t="s">
        <v>490</v>
      </c>
      <c r="D68" t="s">
        <v>489</v>
      </c>
      <c r="E68" t="s">
        <v>490</v>
      </c>
      <c r="F68" t="s">
        <v>490</v>
      </c>
      <c r="G68" t="s">
        <v>489</v>
      </c>
      <c r="H68" t="s">
        <v>490</v>
      </c>
      <c r="I68" t="s">
        <v>490</v>
      </c>
      <c r="J68" t="s">
        <v>489</v>
      </c>
      <c r="K68" t="s">
        <v>489</v>
      </c>
      <c r="L68" t="s">
        <v>489</v>
      </c>
      <c r="M68" t="s">
        <v>490</v>
      </c>
      <c r="N68" t="s">
        <v>489</v>
      </c>
      <c r="O68" t="s">
        <v>490</v>
      </c>
      <c r="P68" t="s">
        <v>490</v>
      </c>
      <c r="Q68" t="s">
        <v>490</v>
      </c>
      <c r="R68" t="s">
        <v>490</v>
      </c>
      <c r="S68" t="s">
        <v>489</v>
      </c>
    </row>
    <row r="69" spans="1:19">
      <c r="A69" t="s">
        <v>974</v>
      </c>
      <c r="B69" t="s">
        <v>489</v>
      </c>
      <c r="C69" t="s">
        <v>490</v>
      </c>
      <c r="D69" t="s">
        <v>490</v>
      </c>
      <c r="E69" t="s">
        <v>489</v>
      </c>
      <c r="F69" t="s">
        <v>490</v>
      </c>
      <c r="G69" t="s">
        <v>490</v>
      </c>
      <c r="H69" t="s">
        <v>490</v>
      </c>
      <c r="I69" t="s">
        <v>490</v>
      </c>
      <c r="J69" t="s">
        <v>489</v>
      </c>
      <c r="K69" t="s">
        <v>489</v>
      </c>
      <c r="L69" t="s">
        <v>490</v>
      </c>
      <c r="M69" t="s">
        <v>490</v>
      </c>
      <c r="N69" t="s">
        <v>489</v>
      </c>
      <c r="O69" t="s">
        <v>490</v>
      </c>
      <c r="P69" t="s">
        <v>490</v>
      </c>
      <c r="Q69" t="s">
        <v>490</v>
      </c>
      <c r="R69" t="s">
        <v>490</v>
      </c>
      <c r="S69" t="s">
        <v>489</v>
      </c>
    </row>
    <row r="70" spans="1:19">
      <c r="A70" t="s">
        <v>972</v>
      </c>
      <c r="B70" t="s">
        <v>489</v>
      </c>
      <c r="C70" t="s">
        <v>490</v>
      </c>
      <c r="D70" t="s">
        <v>490</v>
      </c>
      <c r="E70" t="s">
        <v>489</v>
      </c>
      <c r="F70" t="s">
        <v>490</v>
      </c>
      <c r="G70" t="s">
        <v>490</v>
      </c>
      <c r="H70" t="s">
        <v>490</v>
      </c>
      <c r="I70" t="s">
        <v>490</v>
      </c>
      <c r="J70" t="s">
        <v>489</v>
      </c>
      <c r="K70" t="s">
        <v>489</v>
      </c>
      <c r="L70" t="s">
        <v>490</v>
      </c>
      <c r="M70" t="s">
        <v>490</v>
      </c>
      <c r="N70" t="s">
        <v>489</v>
      </c>
      <c r="O70" t="s">
        <v>490</v>
      </c>
      <c r="P70" t="s">
        <v>490</v>
      </c>
      <c r="Q70" t="s">
        <v>490</v>
      </c>
      <c r="R70" t="s">
        <v>490</v>
      </c>
      <c r="S70" t="s">
        <v>489</v>
      </c>
    </row>
    <row r="71" spans="1:19">
      <c r="A71" t="s">
        <v>972</v>
      </c>
      <c r="B71" t="s">
        <v>490</v>
      </c>
      <c r="C71" t="s">
        <v>490</v>
      </c>
      <c r="D71" t="s">
        <v>489</v>
      </c>
      <c r="E71" t="s">
        <v>489</v>
      </c>
      <c r="F71" t="s">
        <v>490</v>
      </c>
      <c r="G71" t="s">
        <v>490</v>
      </c>
      <c r="H71" t="s">
        <v>490</v>
      </c>
      <c r="I71" t="s">
        <v>490</v>
      </c>
      <c r="J71" t="s">
        <v>489</v>
      </c>
      <c r="K71" t="s">
        <v>489</v>
      </c>
      <c r="L71" t="s">
        <v>490</v>
      </c>
      <c r="M71" t="s">
        <v>490</v>
      </c>
      <c r="N71" t="s">
        <v>489</v>
      </c>
      <c r="O71" t="s">
        <v>490</v>
      </c>
      <c r="P71" t="s">
        <v>490</v>
      </c>
      <c r="Q71" t="s">
        <v>490</v>
      </c>
      <c r="R71" t="s">
        <v>490</v>
      </c>
      <c r="S71" t="s">
        <v>489</v>
      </c>
    </row>
    <row r="72" spans="1:19">
      <c r="A72" t="s">
        <v>972</v>
      </c>
      <c r="B72" t="s">
        <v>490</v>
      </c>
      <c r="C72" t="s">
        <v>490</v>
      </c>
      <c r="D72" t="s">
        <v>489</v>
      </c>
      <c r="E72" t="s">
        <v>489</v>
      </c>
      <c r="F72" t="s">
        <v>490</v>
      </c>
      <c r="G72" t="s">
        <v>490</v>
      </c>
      <c r="H72" t="s">
        <v>490</v>
      </c>
      <c r="I72" t="s">
        <v>490</v>
      </c>
      <c r="J72" t="s">
        <v>489</v>
      </c>
      <c r="K72" t="s">
        <v>489</v>
      </c>
      <c r="L72" t="s">
        <v>490</v>
      </c>
      <c r="M72" t="s">
        <v>490</v>
      </c>
      <c r="N72" t="s">
        <v>489</v>
      </c>
      <c r="O72" t="s">
        <v>490</v>
      </c>
      <c r="P72" t="s">
        <v>490</v>
      </c>
      <c r="Q72" t="s">
        <v>490</v>
      </c>
      <c r="R72" t="s">
        <v>490</v>
      </c>
      <c r="S72" t="s">
        <v>489</v>
      </c>
    </row>
    <row r="73" spans="1:19">
      <c r="A73" t="s">
        <v>974</v>
      </c>
      <c r="B73" t="s">
        <v>490</v>
      </c>
      <c r="C73" t="s">
        <v>490</v>
      </c>
      <c r="D73" t="s">
        <v>489</v>
      </c>
      <c r="E73" t="s">
        <v>489</v>
      </c>
      <c r="F73" t="s">
        <v>490</v>
      </c>
      <c r="G73" t="s">
        <v>490</v>
      </c>
      <c r="H73" t="s">
        <v>490</v>
      </c>
      <c r="I73" t="s">
        <v>490</v>
      </c>
      <c r="J73" t="s">
        <v>489</v>
      </c>
      <c r="K73" t="s">
        <v>489</v>
      </c>
      <c r="L73" t="s">
        <v>490</v>
      </c>
      <c r="M73" t="s">
        <v>490</v>
      </c>
      <c r="N73" t="s">
        <v>489</v>
      </c>
      <c r="O73" t="s">
        <v>490</v>
      </c>
      <c r="P73" t="s">
        <v>490</v>
      </c>
      <c r="Q73" t="s">
        <v>490</v>
      </c>
      <c r="R73" t="s">
        <v>490</v>
      </c>
      <c r="S73" t="s">
        <v>489</v>
      </c>
    </row>
    <row r="74" spans="1:19">
      <c r="A74" t="s">
        <v>972</v>
      </c>
      <c r="B74" t="s">
        <v>490</v>
      </c>
      <c r="C74" t="s">
        <v>490</v>
      </c>
      <c r="D74" t="s">
        <v>489</v>
      </c>
      <c r="E74" t="s">
        <v>489</v>
      </c>
      <c r="F74" t="s">
        <v>490</v>
      </c>
      <c r="G74" t="s">
        <v>490</v>
      </c>
      <c r="H74" t="s">
        <v>490</v>
      </c>
      <c r="I74" t="s">
        <v>490</v>
      </c>
      <c r="J74" t="s">
        <v>489</v>
      </c>
      <c r="K74" t="s">
        <v>489</v>
      </c>
      <c r="L74" t="s">
        <v>490</v>
      </c>
      <c r="M74" t="s">
        <v>490</v>
      </c>
      <c r="N74" t="s">
        <v>489</v>
      </c>
      <c r="O74" t="s">
        <v>490</v>
      </c>
      <c r="P74" t="s">
        <v>490</v>
      </c>
      <c r="Q74" t="s">
        <v>490</v>
      </c>
      <c r="R74" t="s">
        <v>490</v>
      </c>
      <c r="S74" t="s">
        <v>489</v>
      </c>
    </row>
    <row r="75" spans="1:19">
      <c r="A75" t="s">
        <v>972</v>
      </c>
      <c r="B75" t="s">
        <v>490</v>
      </c>
      <c r="C75" t="s">
        <v>490</v>
      </c>
      <c r="D75" t="s">
        <v>489</v>
      </c>
      <c r="E75" t="s">
        <v>490</v>
      </c>
      <c r="F75" t="s">
        <v>490</v>
      </c>
      <c r="G75" t="s">
        <v>489</v>
      </c>
      <c r="H75" t="s">
        <v>490</v>
      </c>
      <c r="I75" t="s">
        <v>490</v>
      </c>
      <c r="J75" t="s">
        <v>489</v>
      </c>
      <c r="K75" t="s">
        <v>489</v>
      </c>
      <c r="L75" t="s">
        <v>490</v>
      </c>
      <c r="M75" t="s">
        <v>490</v>
      </c>
      <c r="N75" t="s">
        <v>489</v>
      </c>
      <c r="O75" t="s">
        <v>490</v>
      </c>
      <c r="P75" t="s">
        <v>490</v>
      </c>
      <c r="Q75" t="s">
        <v>490</v>
      </c>
      <c r="R75" t="s">
        <v>490</v>
      </c>
      <c r="S75" t="s">
        <v>489</v>
      </c>
    </row>
    <row r="76" spans="1:19">
      <c r="A76" t="s">
        <v>972</v>
      </c>
      <c r="B76" t="s">
        <v>490</v>
      </c>
      <c r="C76" t="s">
        <v>490</v>
      </c>
      <c r="D76" t="s">
        <v>489</v>
      </c>
      <c r="E76" t="s">
        <v>490</v>
      </c>
      <c r="F76" t="s">
        <v>490</v>
      </c>
      <c r="G76" t="s">
        <v>489</v>
      </c>
      <c r="H76" t="s">
        <v>490</v>
      </c>
      <c r="I76" t="s">
        <v>490</v>
      </c>
      <c r="J76" t="s">
        <v>489</v>
      </c>
      <c r="K76" t="s">
        <v>489</v>
      </c>
      <c r="L76" t="s">
        <v>490</v>
      </c>
      <c r="M76" t="s">
        <v>490</v>
      </c>
      <c r="N76" t="s">
        <v>489</v>
      </c>
      <c r="O76" t="s">
        <v>490</v>
      </c>
      <c r="P76" t="s">
        <v>490</v>
      </c>
      <c r="Q76" t="s">
        <v>490</v>
      </c>
      <c r="R76" t="s">
        <v>490</v>
      </c>
      <c r="S76" t="s">
        <v>489</v>
      </c>
    </row>
    <row r="77" spans="1:19">
      <c r="A77" t="s">
        <v>972</v>
      </c>
      <c r="B77" t="s">
        <v>489</v>
      </c>
      <c r="C77" t="s">
        <v>490</v>
      </c>
      <c r="D77" t="s">
        <v>490</v>
      </c>
      <c r="E77" t="s">
        <v>489</v>
      </c>
      <c r="F77" t="s">
        <v>489</v>
      </c>
      <c r="G77" t="s">
        <v>490</v>
      </c>
      <c r="H77" t="s">
        <v>490</v>
      </c>
      <c r="I77" t="s">
        <v>490</v>
      </c>
      <c r="J77" t="s">
        <v>489</v>
      </c>
      <c r="K77" t="s">
        <v>490</v>
      </c>
      <c r="L77" t="s">
        <v>490</v>
      </c>
      <c r="M77" t="s">
        <v>489</v>
      </c>
      <c r="N77" t="s">
        <v>489</v>
      </c>
      <c r="O77" t="s">
        <v>490</v>
      </c>
      <c r="P77" t="s">
        <v>490</v>
      </c>
      <c r="Q77" t="s">
        <v>490</v>
      </c>
      <c r="R77" t="s">
        <v>490</v>
      </c>
      <c r="S77" t="s">
        <v>489</v>
      </c>
    </row>
    <row r="78" spans="1:19">
      <c r="A78" t="s">
        <v>972</v>
      </c>
      <c r="B78" t="s">
        <v>490</v>
      </c>
      <c r="C78" t="s">
        <v>490</v>
      </c>
      <c r="D78" t="s">
        <v>489</v>
      </c>
      <c r="E78" t="s">
        <v>489</v>
      </c>
      <c r="F78" t="s">
        <v>490</v>
      </c>
      <c r="G78" t="s">
        <v>490</v>
      </c>
      <c r="H78" t="s">
        <v>490</v>
      </c>
      <c r="I78" t="s">
        <v>490</v>
      </c>
      <c r="J78" t="s">
        <v>489</v>
      </c>
      <c r="K78" t="s">
        <v>490</v>
      </c>
      <c r="L78" t="s">
        <v>490</v>
      </c>
      <c r="M78" t="s">
        <v>489</v>
      </c>
      <c r="N78" t="s">
        <v>489</v>
      </c>
      <c r="O78" t="s">
        <v>490</v>
      </c>
      <c r="P78" t="s">
        <v>490</v>
      </c>
      <c r="Q78" t="s">
        <v>490</v>
      </c>
      <c r="R78" t="s">
        <v>490</v>
      </c>
      <c r="S78" t="s">
        <v>489</v>
      </c>
    </row>
    <row r="79" spans="1:19">
      <c r="A79" t="s">
        <v>972</v>
      </c>
      <c r="B79" t="s">
        <v>490</v>
      </c>
      <c r="C79" t="s">
        <v>490</v>
      </c>
      <c r="D79" t="s">
        <v>489</v>
      </c>
      <c r="E79" t="s">
        <v>490</v>
      </c>
      <c r="F79" t="s">
        <v>490</v>
      </c>
      <c r="G79" t="s">
        <v>489</v>
      </c>
      <c r="H79" t="s">
        <v>490</v>
      </c>
      <c r="I79" t="s">
        <v>490</v>
      </c>
      <c r="J79" t="s">
        <v>489</v>
      </c>
      <c r="K79" t="s">
        <v>489</v>
      </c>
      <c r="L79" t="s">
        <v>489</v>
      </c>
      <c r="M79" t="s">
        <v>490</v>
      </c>
      <c r="N79" t="s">
        <v>490</v>
      </c>
      <c r="O79" t="s">
        <v>490</v>
      </c>
      <c r="P79" t="s">
        <v>489</v>
      </c>
      <c r="Q79" t="s">
        <v>490</v>
      </c>
      <c r="R79" t="s">
        <v>490</v>
      </c>
      <c r="S79" t="s">
        <v>489</v>
      </c>
    </row>
    <row r="80" spans="1:19">
      <c r="A80" t="s">
        <v>972</v>
      </c>
      <c r="B80" t="s">
        <v>489</v>
      </c>
      <c r="C80" t="s">
        <v>490</v>
      </c>
      <c r="D80" t="s">
        <v>490</v>
      </c>
      <c r="E80" t="s">
        <v>489</v>
      </c>
      <c r="F80" t="s">
        <v>490</v>
      </c>
      <c r="G80" t="s">
        <v>490</v>
      </c>
      <c r="H80" t="s">
        <v>490</v>
      </c>
      <c r="I80" t="s">
        <v>490</v>
      </c>
      <c r="J80" t="s">
        <v>489</v>
      </c>
      <c r="K80" t="s">
        <v>489</v>
      </c>
      <c r="L80" t="s">
        <v>490</v>
      </c>
      <c r="M80" t="s">
        <v>490</v>
      </c>
      <c r="N80" t="s">
        <v>490</v>
      </c>
      <c r="O80" t="s">
        <v>490</v>
      </c>
      <c r="P80" t="s">
        <v>489</v>
      </c>
      <c r="Q80" t="s">
        <v>490</v>
      </c>
      <c r="R80" t="s">
        <v>490</v>
      </c>
      <c r="S80" t="s">
        <v>489</v>
      </c>
    </row>
    <row r="81" spans="1:24">
      <c r="A81" t="s">
        <v>974</v>
      </c>
      <c r="B81" t="s">
        <v>490</v>
      </c>
      <c r="C81" t="s">
        <v>490</v>
      </c>
      <c r="D81" t="s">
        <v>489</v>
      </c>
      <c r="E81" t="s">
        <v>490</v>
      </c>
      <c r="F81" t="s">
        <v>489</v>
      </c>
      <c r="G81" t="s">
        <v>490</v>
      </c>
      <c r="H81" t="s">
        <v>490</v>
      </c>
      <c r="I81" t="s">
        <v>490</v>
      </c>
      <c r="J81" t="s">
        <v>489</v>
      </c>
      <c r="K81" t="s">
        <v>490</v>
      </c>
      <c r="L81" t="s">
        <v>490</v>
      </c>
      <c r="M81" t="s">
        <v>489</v>
      </c>
      <c r="N81" t="s">
        <v>490</v>
      </c>
      <c r="O81" t="s">
        <v>490</v>
      </c>
      <c r="P81" t="s">
        <v>489</v>
      </c>
      <c r="Q81" t="s">
        <v>490</v>
      </c>
      <c r="R81" t="s">
        <v>490</v>
      </c>
      <c r="S81" t="s">
        <v>489</v>
      </c>
    </row>
    <row r="82" spans="1:24">
      <c r="A82" t="s">
        <v>972</v>
      </c>
      <c r="B82" t="s">
        <v>490</v>
      </c>
      <c r="C82" t="s">
        <v>490</v>
      </c>
      <c r="D82" t="s">
        <v>489</v>
      </c>
      <c r="E82" t="s">
        <v>490</v>
      </c>
      <c r="F82" t="s">
        <v>490</v>
      </c>
      <c r="G82" t="s">
        <v>489</v>
      </c>
      <c r="H82" t="s">
        <v>490</v>
      </c>
      <c r="I82" t="s">
        <v>490</v>
      </c>
      <c r="J82" t="s">
        <v>489</v>
      </c>
      <c r="K82" t="s">
        <v>490</v>
      </c>
      <c r="L82" t="s">
        <v>490</v>
      </c>
      <c r="M82" t="s">
        <v>489</v>
      </c>
      <c r="N82" t="s">
        <v>490</v>
      </c>
      <c r="O82" t="s">
        <v>490</v>
      </c>
      <c r="P82" t="s">
        <v>489</v>
      </c>
      <c r="Q82" t="s">
        <v>490</v>
      </c>
      <c r="R82" t="s">
        <v>490</v>
      </c>
      <c r="S82" t="s">
        <v>489</v>
      </c>
    </row>
    <row r="84" spans="1:24">
      <c r="B84" t="s">
        <v>697</v>
      </c>
      <c r="C84" t="s">
        <v>665</v>
      </c>
      <c r="D84" t="s">
        <v>666</v>
      </c>
      <c r="E84" t="s">
        <v>698</v>
      </c>
      <c r="F84" t="s">
        <v>665</v>
      </c>
      <c r="G84" t="s">
        <v>666</v>
      </c>
      <c r="H84" t="s">
        <v>699</v>
      </c>
      <c r="I84" t="s">
        <v>665</v>
      </c>
      <c r="J84" t="s">
        <v>666</v>
      </c>
      <c r="K84" t="s">
        <v>700</v>
      </c>
      <c r="L84" t="s">
        <v>665</v>
      </c>
      <c r="M84" t="s">
        <v>666</v>
      </c>
      <c r="N84" t="s">
        <v>701</v>
      </c>
      <c r="O84" t="s">
        <v>665</v>
      </c>
      <c r="P84" t="s">
        <v>666</v>
      </c>
      <c r="Q84" t="s">
        <v>702</v>
      </c>
      <c r="R84" t="s">
        <v>665</v>
      </c>
      <c r="S84" t="s">
        <v>666</v>
      </c>
    </row>
    <row r="85" spans="1:24">
      <c r="A85" t="s">
        <v>489</v>
      </c>
      <c r="B85" s="25">
        <f>42/139</f>
        <v>0.30215827338129497</v>
      </c>
      <c r="C85" s="25">
        <f>21/139</f>
        <v>0.15107913669064749</v>
      </c>
      <c r="D85" s="38" t="s">
        <v>1293</v>
      </c>
      <c r="E85" s="25">
        <f>53/139</f>
        <v>0.38129496402877699</v>
      </c>
      <c r="F85" s="25">
        <f>35/139</f>
        <v>0.25179856115107913</v>
      </c>
      <c r="G85" s="38" t="s">
        <v>1293</v>
      </c>
      <c r="H85" s="38" t="s">
        <v>1293</v>
      </c>
      <c r="I85" s="25">
        <f>3/139</f>
        <v>2.1582733812949641E-2</v>
      </c>
      <c r="J85" s="38" t="s">
        <v>1293</v>
      </c>
      <c r="K85" s="25">
        <f>65/139</f>
        <v>0.46762589928057552</v>
      </c>
      <c r="L85" s="25">
        <f>56/139</f>
        <v>0.40287769784172661</v>
      </c>
      <c r="M85" s="38" t="s">
        <v>1293</v>
      </c>
      <c r="N85" s="25">
        <f>65/139</f>
        <v>0.46762589928057552</v>
      </c>
      <c r="O85" s="25">
        <f>55/139</f>
        <v>0.39568345323741005</v>
      </c>
      <c r="P85" s="38" t="s">
        <v>1293</v>
      </c>
      <c r="Q85" s="25">
        <f>19/139</f>
        <v>0.1366906474820144</v>
      </c>
      <c r="R85" s="25">
        <f>12/139</f>
        <v>8.6330935251798566E-2</v>
      </c>
      <c r="S85" s="38" t="s">
        <v>1293</v>
      </c>
      <c r="T85" s="38"/>
      <c r="U85" s="25"/>
      <c r="V85" s="38"/>
      <c r="W85" s="25"/>
      <c r="X85" s="25"/>
    </row>
    <row r="90" spans="1:24">
      <c r="A90" t="s">
        <v>1216</v>
      </c>
    </row>
    <row r="91" spans="1:24">
      <c r="B91" t="s">
        <v>1394</v>
      </c>
      <c r="C91" t="s">
        <v>1395</v>
      </c>
    </row>
    <row r="92" spans="1:24">
      <c r="A92" t="s">
        <v>1336</v>
      </c>
      <c r="B92" s="15">
        <v>2</v>
      </c>
      <c r="C92" s="66" t="s">
        <v>1293</v>
      </c>
    </row>
    <row r="93" spans="1:24">
      <c r="A93" t="s">
        <v>1339</v>
      </c>
      <c r="B93" s="15">
        <v>9</v>
      </c>
      <c r="C93" s="15">
        <v>14</v>
      </c>
    </row>
    <row r="94" spans="1:24">
      <c r="A94" t="s">
        <v>1334</v>
      </c>
      <c r="B94" s="15">
        <v>15</v>
      </c>
      <c r="C94" s="15">
        <v>30</v>
      </c>
    </row>
    <row r="95" spans="1:24">
      <c r="A95" t="s">
        <v>1335</v>
      </c>
      <c r="B95" s="15">
        <v>25</v>
      </c>
      <c r="C95" s="15">
        <v>38</v>
      </c>
    </row>
    <row r="96" spans="1:24">
      <c r="A96" t="s">
        <v>1337</v>
      </c>
      <c r="B96" s="15">
        <v>40</v>
      </c>
      <c r="C96" s="15">
        <v>47</v>
      </c>
    </row>
    <row r="97" spans="1:3">
      <c r="A97" t="s">
        <v>1338</v>
      </c>
      <c r="B97" s="15">
        <v>40</v>
      </c>
      <c r="C97" s="15">
        <v>47</v>
      </c>
    </row>
  </sheetData>
  <sortState ref="A6:S82">
    <sortCondition ref="R6:R82"/>
  </sortState>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AA89"/>
  <sheetViews>
    <sheetView workbookViewId="0"/>
  </sheetViews>
  <sheetFormatPr defaultRowHeight="14.4"/>
  <cols>
    <col min="1" max="1" width="15" customWidth="1"/>
    <col min="2" max="2" width="4.109375" customWidth="1"/>
    <col min="3" max="3" width="10.6640625" customWidth="1"/>
    <col min="4" max="4" width="3.5546875" customWidth="1"/>
    <col min="5" max="5" width="4" customWidth="1"/>
    <col min="6" max="6" width="11" customWidth="1"/>
    <col min="7" max="7" width="3.88671875" customWidth="1"/>
    <col min="8" max="8" width="3.44140625" customWidth="1"/>
    <col min="9" max="9" width="9.88671875" customWidth="1"/>
    <col min="10" max="10" width="4.44140625" customWidth="1"/>
    <col min="11" max="11" width="4.33203125" customWidth="1"/>
    <col min="13" max="13" width="4.33203125" customWidth="1"/>
    <col min="14" max="14" width="5" customWidth="1"/>
    <col min="15" max="15" width="9.44140625" customWidth="1"/>
    <col min="16" max="16" width="3.6640625" customWidth="1"/>
    <col min="17" max="17" width="4.6640625" customWidth="1"/>
    <col min="18" max="18" width="10.33203125" customWidth="1"/>
    <col min="19" max="19" width="3.5546875" customWidth="1"/>
    <col min="20" max="20" width="4" customWidth="1"/>
    <col min="22" max="22" width="4" customWidth="1"/>
    <col min="23" max="23" width="4.5546875" customWidth="1"/>
    <col min="24" max="24" width="9.88671875" customWidth="1"/>
  </cols>
  <sheetData>
    <row r="1" spans="1:25">
      <c r="A1" s="3" t="s">
        <v>1304</v>
      </c>
    </row>
    <row r="2" spans="1:25">
      <c r="A2" t="s">
        <v>1340</v>
      </c>
    </row>
    <row r="4" spans="1:25">
      <c r="A4" t="s">
        <v>1216</v>
      </c>
    </row>
    <row r="5" spans="1:25">
      <c r="B5" t="s">
        <v>703</v>
      </c>
      <c r="C5" t="s">
        <v>665</v>
      </c>
      <c r="D5" t="s">
        <v>666</v>
      </c>
      <c r="E5" t="s">
        <v>704</v>
      </c>
      <c r="F5" t="s">
        <v>665</v>
      </c>
      <c r="G5" t="s">
        <v>666</v>
      </c>
      <c r="H5" t="s">
        <v>705</v>
      </c>
      <c r="I5" t="s">
        <v>665</v>
      </c>
      <c r="J5" t="s">
        <v>666</v>
      </c>
      <c r="K5" t="s">
        <v>706</v>
      </c>
      <c r="L5" t="s">
        <v>665</v>
      </c>
      <c r="M5" t="s">
        <v>666</v>
      </c>
      <c r="N5" t="s">
        <v>707</v>
      </c>
      <c r="O5" t="s">
        <v>665</v>
      </c>
      <c r="P5" t="s">
        <v>666</v>
      </c>
      <c r="Q5" t="s">
        <v>708</v>
      </c>
      <c r="R5" t="s">
        <v>665</v>
      </c>
      <c r="S5" t="s">
        <v>666</v>
      </c>
      <c r="T5" t="s">
        <v>709</v>
      </c>
      <c r="U5" t="s">
        <v>665</v>
      </c>
      <c r="V5" t="s">
        <v>666</v>
      </c>
      <c r="W5" t="s">
        <v>710</v>
      </c>
      <c r="X5" t="s">
        <v>665</v>
      </c>
      <c r="Y5" t="s">
        <v>666</v>
      </c>
    </row>
    <row r="6" spans="1:25">
      <c r="A6" t="s">
        <v>972</v>
      </c>
      <c r="B6" t="s">
        <v>490</v>
      </c>
      <c r="C6" t="s">
        <v>489</v>
      </c>
      <c r="D6" t="s">
        <v>490</v>
      </c>
      <c r="E6" t="s">
        <v>490</v>
      </c>
      <c r="F6" t="s">
        <v>490</v>
      </c>
      <c r="G6" t="s">
        <v>489</v>
      </c>
      <c r="H6" t="s">
        <v>490</v>
      </c>
      <c r="I6" t="s">
        <v>489</v>
      </c>
      <c r="J6" t="s">
        <v>490</v>
      </c>
      <c r="K6" t="s">
        <v>490</v>
      </c>
      <c r="L6" t="s">
        <v>489</v>
      </c>
      <c r="M6" t="s">
        <v>490</v>
      </c>
      <c r="N6" t="s">
        <v>490</v>
      </c>
      <c r="O6" t="s">
        <v>489</v>
      </c>
      <c r="P6" t="s">
        <v>490</v>
      </c>
      <c r="Q6" t="s">
        <v>490</v>
      </c>
      <c r="R6" t="s">
        <v>489</v>
      </c>
      <c r="S6" t="s">
        <v>490</v>
      </c>
      <c r="T6" t="s">
        <v>490</v>
      </c>
      <c r="U6" t="s">
        <v>489</v>
      </c>
      <c r="V6" t="s">
        <v>490</v>
      </c>
      <c r="W6" t="s">
        <v>490</v>
      </c>
      <c r="X6" t="s">
        <v>489</v>
      </c>
      <c r="Y6" t="s">
        <v>490</v>
      </c>
    </row>
    <row r="7" spans="1:25">
      <c r="A7" t="s">
        <v>974</v>
      </c>
      <c r="B7" t="s">
        <v>490</v>
      </c>
      <c r="C7" t="s">
        <v>489</v>
      </c>
      <c r="D7" t="s">
        <v>490</v>
      </c>
      <c r="E7" t="s">
        <v>490</v>
      </c>
      <c r="F7" t="s">
        <v>489</v>
      </c>
      <c r="G7" t="s">
        <v>490</v>
      </c>
      <c r="H7" t="s">
        <v>490</v>
      </c>
      <c r="I7" t="s">
        <v>490</v>
      </c>
      <c r="J7" t="s">
        <v>489</v>
      </c>
      <c r="K7" t="s">
        <v>490</v>
      </c>
      <c r="L7" t="s">
        <v>489</v>
      </c>
      <c r="M7" t="s">
        <v>490</v>
      </c>
      <c r="N7" t="s">
        <v>490</v>
      </c>
      <c r="O7" t="s">
        <v>489</v>
      </c>
      <c r="P7" t="s">
        <v>490</v>
      </c>
      <c r="Q7" t="s">
        <v>490</v>
      </c>
      <c r="R7" t="s">
        <v>489</v>
      </c>
      <c r="S7" t="s">
        <v>490</v>
      </c>
      <c r="T7" t="s">
        <v>490</v>
      </c>
      <c r="U7" t="s">
        <v>489</v>
      </c>
      <c r="V7" t="s">
        <v>490</v>
      </c>
      <c r="W7" t="s">
        <v>490</v>
      </c>
      <c r="X7" t="s">
        <v>489</v>
      </c>
      <c r="Y7" t="s">
        <v>490</v>
      </c>
    </row>
    <row r="8" spans="1:25">
      <c r="A8" t="s">
        <v>972</v>
      </c>
      <c r="B8" t="s">
        <v>490</v>
      </c>
      <c r="C8" t="s">
        <v>489</v>
      </c>
      <c r="D8" t="s">
        <v>490</v>
      </c>
      <c r="E8" t="s">
        <v>490</v>
      </c>
      <c r="F8" t="s">
        <v>490</v>
      </c>
      <c r="G8" t="s">
        <v>489</v>
      </c>
      <c r="H8" t="s">
        <v>490</v>
      </c>
      <c r="I8" t="s">
        <v>490</v>
      </c>
      <c r="J8" t="s">
        <v>489</v>
      </c>
      <c r="K8" t="s">
        <v>490</v>
      </c>
      <c r="L8" t="s">
        <v>490</v>
      </c>
      <c r="M8" t="s">
        <v>489</v>
      </c>
      <c r="N8" t="s">
        <v>490</v>
      </c>
      <c r="O8" t="s">
        <v>489</v>
      </c>
      <c r="P8" t="s">
        <v>490</v>
      </c>
      <c r="Q8" t="s">
        <v>490</v>
      </c>
      <c r="R8" t="s">
        <v>489</v>
      </c>
      <c r="S8" t="s">
        <v>490</v>
      </c>
      <c r="T8" t="s">
        <v>490</v>
      </c>
      <c r="U8" t="s">
        <v>489</v>
      </c>
      <c r="V8" t="s">
        <v>490</v>
      </c>
      <c r="W8" t="s">
        <v>490</v>
      </c>
      <c r="X8" t="s">
        <v>489</v>
      </c>
      <c r="Y8" t="s">
        <v>490</v>
      </c>
    </row>
    <row r="9" spans="1:25">
      <c r="A9" t="s">
        <v>954</v>
      </c>
      <c r="B9" t="s">
        <v>490</v>
      </c>
      <c r="C9" t="s">
        <v>489</v>
      </c>
      <c r="D9" t="s">
        <v>490</v>
      </c>
      <c r="E9" t="s">
        <v>490</v>
      </c>
      <c r="F9" t="s">
        <v>489</v>
      </c>
      <c r="G9" t="s">
        <v>490</v>
      </c>
      <c r="H9" t="s">
        <v>490</v>
      </c>
      <c r="I9" t="s">
        <v>489</v>
      </c>
      <c r="J9" t="s">
        <v>490</v>
      </c>
      <c r="K9" t="s">
        <v>490</v>
      </c>
      <c r="L9" t="s">
        <v>489</v>
      </c>
      <c r="M9" t="s">
        <v>490</v>
      </c>
      <c r="N9" t="s">
        <v>490</v>
      </c>
      <c r="O9" t="s">
        <v>490</v>
      </c>
      <c r="P9" t="s">
        <v>489</v>
      </c>
      <c r="Q9" t="s">
        <v>490</v>
      </c>
      <c r="R9" t="s">
        <v>489</v>
      </c>
      <c r="S9" t="s">
        <v>490</v>
      </c>
      <c r="T9" t="s">
        <v>490</v>
      </c>
      <c r="U9" t="s">
        <v>489</v>
      </c>
      <c r="V9" t="s">
        <v>490</v>
      </c>
      <c r="W9" t="s">
        <v>490</v>
      </c>
      <c r="X9" t="s">
        <v>489</v>
      </c>
      <c r="Y9" t="s">
        <v>490</v>
      </c>
    </row>
    <row r="10" spans="1:25">
      <c r="A10" t="s">
        <v>954</v>
      </c>
      <c r="B10" t="s">
        <v>490</v>
      </c>
      <c r="C10" t="s">
        <v>489</v>
      </c>
      <c r="D10" t="s">
        <v>490</v>
      </c>
      <c r="E10" t="s">
        <v>490</v>
      </c>
      <c r="F10" t="s">
        <v>489</v>
      </c>
      <c r="G10" t="s">
        <v>490</v>
      </c>
      <c r="H10" t="s">
        <v>490</v>
      </c>
      <c r="I10" t="s">
        <v>490</v>
      </c>
      <c r="J10" t="s">
        <v>489</v>
      </c>
      <c r="K10" t="s">
        <v>490</v>
      </c>
      <c r="L10" t="s">
        <v>489</v>
      </c>
      <c r="M10" t="s">
        <v>490</v>
      </c>
      <c r="N10" t="s">
        <v>490</v>
      </c>
      <c r="O10" t="s">
        <v>490</v>
      </c>
      <c r="P10" t="s">
        <v>489</v>
      </c>
      <c r="Q10" t="s">
        <v>490</v>
      </c>
      <c r="R10" t="s">
        <v>489</v>
      </c>
      <c r="S10" t="s">
        <v>490</v>
      </c>
      <c r="T10" t="s">
        <v>490</v>
      </c>
      <c r="U10" t="s">
        <v>489</v>
      </c>
      <c r="V10" t="s">
        <v>490</v>
      </c>
      <c r="W10" t="s">
        <v>490</v>
      </c>
      <c r="X10" t="s">
        <v>489</v>
      </c>
      <c r="Y10" t="s">
        <v>490</v>
      </c>
    </row>
    <row r="11" spans="1:25">
      <c r="A11" t="s">
        <v>974</v>
      </c>
      <c r="B11" t="s">
        <v>490</v>
      </c>
      <c r="C11" t="s">
        <v>489</v>
      </c>
      <c r="D11" t="s">
        <v>490</v>
      </c>
      <c r="E11" t="s">
        <v>490</v>
      </c>
      <c r="F11" t="s">
        <v>489</v>
      </c>
      <c r="G11" t="s">
        <v>490</v>
      </c>
      <c r="H11" t="s">
        <v>490</v>
      </c>
      <c r="I11" t="s">
        <v>490</v>
      </c>
      <c r="J11" t="s">
        <v>489</v>
      </c>
      <c r="K11" t="s">
        <v>490</v>
      </c>
      <c r="L11" t="s">
        <v>489</v>
      </c>
      <c r="M11" t="s">
        <v>490</v>
      </c>
      <c r="N11" t="s">
        <v>490</v>
      </c>
      <c r="O11" t="s">
        <v>490</v>
      </c>
      <c r="P11" t="s">
        <v>489</v>
      </c>
      <c r="Q11" t="s">
        <v>490</v>
      </c>
      <c r="R11" t="s">
        <v>489</v>
      </c>
      <c r="S11" t="s">
        <v>490</v>
      </c>
      <c r="T11" t="s">
        <v>490</v>
      </c>
      <c r="U11" t="s">
        <v>489</v>
      </c>
      <c r="V11" t="s">
        <v>490</v>
      </c>
      <c r="W11" t="s">
        <v>490</v>
      </c>
      <c r="X11" t="s">
        <v>489</v>
      </c>
      <c r="Y11" t="s">
        <v>490</v>
      </c>
    </row>
    <row r="12" spans="1:25">
      <c r="A12" t="s">
        <v>972</v>
      </c>
      <c r="B12" t="s">
        <v>490</v>
      </c>
      <c r="C12" t="s">
        <v>489</v>
      </c>
      <c r="D12" t="s">
        <v>490</v>
      </c>
      <c r="E12" t="s">
        <v>490</v>
      </c>
      <c r="F12" t="s">
        <v>490</v>
      </c>
      <c r="G12" t="s">
        <v>489</v>
      </c>
      <c r="H12" t="s">
        <v>490</v>
      </c>
      <c r="I12" t="s">
        <v>490</v>
      </c>
      <c r="J12" t="s">
        <v>489</v>
      </c>
      <c r="K12" t="s">
        <v>490</v>
      </c>
      <c r="L12" t="s">
        <v>489</v>
      </c>
      <c r="M12" t="s">
        <v>490</v>
      </c>
      <c r="N12" t="s">
        <v>490</v>
      </c>
      <c r="O12" t="s">
        <v>490</v>
      </c>
      <c r="P12" t="s">
        <v>489</v>
      </c>
      <c r="Q12" t="s">
        <v>490</v>
      </c>
      <c r="R12" t="s">
        <v>489</v>
      </c>
      <c r="S12" t="s">
        <v>490</v>
      </c>
      <c r="T12" t="s">
        <v>490</v>
      </c>
      <c r="U12" t="s">
        <v>489</v>
      </c>
      <c r="V12" t="s">
        <v>490</v>
      </c>
      <c r="W12" t="s">
        <v>490</v>
      </c>
      <c r="X12" t="s">
        <v>489</v>
      </c>
      <c r="Y12" t="s">
        <v>490</v>
      </c>
    </row>
    <row r="13" spans="1:25">
      <c r="A13" t="s">
        <v>974</v>
      </c>
      <c r="B13" t="s">
        <v>490</v>
      </c>
      <c r="C13" t="s">
        <v>489</v>
      </c>
      <c r="D13" t="s">
        <v>490</v>
      </c>
      <c r="E13" t="s">
        <v>490</v>
      </c>
      <c r="F13" t="s">
        <v>490</v>
      </c>
      <c r="G13" t="s">
        <v>489</v>
      </c>
      <c r="H13" t="s">
        <v>490</v>
      </c>
      <c r="I13" t="s">
        <v>490</v>
      </c>
      <c r="J13" t="s">
        <v>489</v>
      </c>
      <c r="K13" t="s">
        <v>490</v>
      </c>
      <c r="L13" t="s">
        <v>489</v>
      </c>
      <c r="M13" t="s">
        <v>490</v>
      </c>
      <c r="N13" t="s">
        <v>490</v>
      </c>
      <c r="O13" t="s">
        <v>490</v>
      </c>
      <c r="P13" t="s">
        <v>489</v>
      </c>
      <c r="Q13" t="s">
        <v>490</v>
      </c>
      <c r="R13" t="s">
        <v>489</v>
      </c>
      <c r="S13" t="s">
        <v>490</v>
      </c>
      <c r="T13" t="s">
        <v>490</v>
      </c>
      <c r="U13" t="s">
        <v>489</v>
      </c>
      <c r="V13" t="s">
        <v>490</v>
      </c>
      <c r="W13" t="s">
        <v>490</v>
      </c>
      <c r="X13" t="s">
        <v>489</v>
      </c>
      <c r="Y13" t="s">
        <v>490</v>
      </c>
    </row>
    <row r="14" spans="1:25">
      <c r="A14" t="s">
        <v>974</v>
      </c>
      <c r="B14" t="s">
        <v>490</v>
      </c>
      <c r="C14" t="s">
        <v>489</v>
      </c>
      <c r="D14" t="s">
        <v>490</v>
      </c>
      <c r="E14" t="s">
        <v>490</v>
      </c>
      <c r="F14" t="s">
        <v>490</v>
      </c>
      <c r="G14" t="s">
        <v>489</v>
      </c>
      <c r="H14" t="s">
        <v>490</v>
      </c>
      <c r="I14" t="s">
        <v>490</v>
      </c>
      <c r="J14" t="s">
        <v>489</v>
      </c>
      <c r="K14" t="s">
        <v>490</v>
      </c>
      <c r="L14" t="s">
        <v>489</v>
      </c>
      <c r="M14" t="s">
        <v>490</v>
      </c>
      <c r="N14" t="s">
        <v>490</v>
      </c>
      <c r="O14" t="s">
        <v>490</v>
      </c>
      <c r="P14" t="s">
        <v>489</v>
      </c>
      <c r="Q14" t="s">
        <v>490</v>
      </c>
      <c r="R14" t="s">
        <v>489</v>
      </c>
      <c r="S14" t="s">
        <v>490</v>
      </c>
      <c r="T14" t="s">
        <v>490</v>
      </c>
      <c r="U14" t="s">
        <v>489</v>
      </c>
      <c r="V14" t="s">
        <v>490</v>
      </c>
      <c r="W14" t="s">
        <v>490</v>
      </c>
      <c r="X14" t="s">
        <v>489</v>
      </c>
      <c r="Y14" t="s">
        <v>490</v>
      </c>
    </row>
    <row r="15" spans="1:25">
      <c r="A15" t="s">
        <v>974</v>
      </c>
      <c r="B15" t="s">
        <v>490</v>
      </c>
      <c r="C15" t="s">
        <v>489</v>
      </c>
      <c r="D15" t="s">
        <v>490</v>
      </c>
      <c r="E15" t="s">
        <v>490</v>
      </c>
      <c r="F15" t="s">
        <v>490</v>
      </c>
      <c r="G15" t="s">
        <v>489</v>
      </c>
      <c r="H15" t="s">
        <v>490</v>
      </c>
      <c r="I15" t="s">
        <v>490</v>
      </c>
      <c r="J15" t="s">
        <v>489</v>
      </c>
      <c r="K15" t="s">
        <v>490</v>
      </c>
      <c r="L15" t="s">
        <v>489</v>
      </c>
      <c r="M15" t="s">
        <v>490</v>
      </c>
      <c r="N15" t="s">
        <v>490</v>
      </c>
      <c r="O15" t="s">
        <v>490</v>
      </c>
      <c r="P15" t="s">
        <v>489</v>
      </c>
      <c r="Q15" t="s">
        <v>490</v>
      </c>
      <c r="R15" t="s">
        <v>489</v>
      </c>
      <c r="S15" t="s">
        <v>490</v>
      </c>
      <c r="T15" t="s">
        <v>490</v>
      </c>
      <c r="U15" t="s">
        <v>489</v>
      </c>
      <c r="V15" t="s">
        <v>490</v>
      </c>
      <c r="W15" t="s">
        <v>490</v>
      </c>
      <c r="X15" t="s">
        <v>489</v>
      </c>
      <c r="Y15" t="s">
        <v>490</v>
      </c>
    </row>
    <row r="16" spans="1:25">
      <c r="A16" t="s">
        <v>972</v>
      </c>
      <c r="B16" t="s">
        <v>490</v>
      </c>
      <c r="C16" t="s">
        <v>490</v>
      </c>
      <c r="D16" t="s">
        <v>489</v>
      </c>
      <c r="E16" t="s">
        <v>490</v>
      </c>
      <c r="F16" t="s">
        <v>490</v>
      </c>
      <c r="G16" t="s">
        <v>489</v>
      </c>
      <c r="H16" t="s">
        <v>490</v>
      </c>
      <c r="I16" t="s">
        <v>490</v>
      </c>
      <c r="J16" t="s">
        <v>489</v>
      </c>
      <c r="K16" t="s">
        <v>490</v>
      </c>
      <c r="L16" t="s">
        <v>489</v>
      </c>
      <c r="M16" t="s">
        <v>490</v>
      </c>
      <c r="N16" t="s">
        <v>490</v>
      </c>
      <c r="O16" t="s">
        <v>490</v>
      </c>
      <c r="P16" t="s">
        <v>489</v>
      </c>
      <c r="Q16" t="s">
        <v>490</v>
      </c>
      <c r="R16" t="s">
        <v>489</v>
      </c>
      <c r="S16" t="s">
        <v>490</v>
      </c>
      <c r="T16" t="s">
        <v>490</v>
      </c>
      <c r="U16" t="s">
        <v>489</v>
      </c>
      <c r="V16" t="s">
        <v>490</v>
      </c>
      <c r="W16" t="s">
        <v>490</v>
      </c>
      <c r="X16" t="s">
        <v>489</v>
      </c>
      <c r="Y16" t="s">
        <v>490</v>
      </c>
    </row>
    <row r="17" spans="1:25">
      <c r="A17" t="s">
        <v>972</v>
      </c>
      <c r="B17" t="s">
        <v>490</v>
      </c>
      <c r="C17" t="s">
        <v>489</v>
      </c>
      <c r="D17" t="s">
        <v>490</v>
      </c>
      <c r="E17" t="s">
        <v>490</v>
      </c>
      <c r="F17" t="s">
        <v>489</v>
      </c>
      <c r="G17" t="s">
        <v>490</v>
      </c>
      <c r="H17" t="s">
        <v>490</v>
      </c>
      <c r="I17" t="s">
        <v>490</v>
      </c>
      <c r="J17" t="s">
        <v>489</v>
      </c>
      <c r="K17" t="s">
        <v>490</v>
      </c>
      <c r="L17" t="s">
        <v>490</v>
      </c>
      <c r="M17" t="s">
        <v>489</v>
      </c>
      <c r="N17" t="s">
        <v>490</v>
      </c>
      <c r="O17" t="s">
        <v>490</v>
      </c>
      <c r="P17" t="s">
        <v>489</v>
      </c>
      <c r="Q17" t="s">
        <v>490</v>
      </c>
      <c r="R17" t="s">
        <v>490</v>
      </c>
      <c r="S17" t="s">
        <v>489</v>
      </c>
      <c r="T17" t="s">
        <v>490</v>
      </c>
      <c r="U17" t="s">
        <v>489</v>
      </c>
      <c r="V17" t="s">
        <v>490</v>
      </c>
      <c r="W17" t="s">
        <v>490</v>
      </c>
      <c r="X17" t="s">
        <v>489</v>
      </c>
      <c r="Y17" t="s">
        <v>490</v>
      </c>
    </row>
    <row r="18" spans="1:25">
      <c r="A18" t="s">
        <v>972</v>
      </c>
      <c r="B18" t="s">
        <v>490</v>
      </c>
      <c r="C18" t="s">
        <v>489</v>
      </c>
      <c r="D18" t="s">
        <v>490</v>
      </c>
      <c r="E18" t="s">
        <v>490</v>
      </c>
      <c r="F18" t="s">
        <v>489</v>
      </c>
      <c r="G18" t="s">
        <v>490</v>
      </c>
      <c r="H18" t="s">
        <v>490</v>
      </c>
      <c r="I18" t="s">
        <v>490</v>
      </c>
      <c r="J18" t="s">
        <v>489</v>
      </c>
      <c r="K18" t="s">
        <v>490</v>
      </c>
      <c r="L18" t="s">
        <v>490</v>
      </c>
      <c r="M18" t="s">
        <v>489</v>
      </c>
      <c r="N18" t="s">
        <v>490</v>
      </c>
      <c r="O18" t="s">
        <v>490</v>
      </c>
      <c r="P18" t="s">
        <v>489</v>
      </c>
      <c r="Q18" t="s">
        <v>490</v>
      </c>
      <c r="R18" t="s">
        <v>490</v>
      </c>
      <c r="S18" t="s">
        <v>489</v>
      </c>
      <c r="T18" t="s">
        <v>490</v>
      </c>
      <c r="U18" t="s">
        <v>489</v>
      </c>
      <c r="V18" t="s">
        <v>490</v>
      </c>
      <c r="W18" t="s">
        <v>490</v>
      </c>
      <c r="X18" t="s">
        <v>489</v>
      </c>
      <c r="Y18" t="s">
        <v>490</v>
      </c>
    </row>
    <row r="19" spans="1:25">
      <c r="A19" t="s">
        <v>973</v>
      </c>
      <c r="B19" t="s">
        <v>490</v>
      </c>
      <c r="C19" t="s">
        <v>489</v>
      </c>
      <c r="D19" t="s">
        <v>490</v>
      </c>
      <c r="E19" t="s">
        <v>490</v>
      </c>
      <c r="F19" t="s">
        <v>490</v>
      </c>
      <c r="G19" t="s">
        <v>489</v>
      </c>
      <c r="H19" t="s">
        <v>490</v>
      </c>
      <c r="I19" t="s">
        <v>490</v>
      </c>
      <c r="J19" t="s">
        <v>489</v>
      </c>
      <c r="K19" t="s">
        <v>490</v>
      </c>
      <c r="L19" t="s">
        <v>490</v>
      </c>
      <c r="M19" t="s">
        <v>489</v>
      </c>
      <c r="N19" t="s">
        <v>490</v>
      </c>
      <c r="O19" t="s">
        <v>490</v>
      </c>
      <c r="P19" t="s">
        <v>489</v>
      </c>
      <c r="Q19" t="s">
        <v>490</v>
      </c>
      <c r="R19" t="s">
        <v>490</v>
      </c>
      <c r="S19" t="s">
        <v>489</v>
      </c>
      <c r="T19" t="s">
        <v>490</v>
      </c>
      <c r="U19" t="s">
        <v>489</v>
      </c>
      <c r="V19" t="s">
        <v>490</v>
      </c>
      <c r="W19" t="s">
        <v>490</v>
      </c>
      <c r="X19" t="s">
        <v>489</v>
      </c>
      <c r="Y19" t="s">
        <v>490</v>
      </c>
    </row>
    <row r="20" spans="1:25">
      <c r="A20" t="s">
        <v>974</v>
      </c>
      <c r="B20" t="s">
        <v>490</v>
      </c>
      <c r="C20" t="s">
        <v>489</v>
      </c>
      <c r="D20" t="s">
        <v>490</v>
      </c>
      <c r="E20" t="s">
        <v>490</v>
      </c>
      <c r="F20" t="s">
        <v>490</v>
      </c>
      <c r="G20" t="s">
        <v>489</v>
      </c>
      <c r="H20" t="s">
        <v>490</v>
      </c>
      <c r="I20" t="s">
        <v>490</v>
      </c>
      <c r="J20" t="s">
        <v>489</v>
      </c>
      <c r="K20" t="s">
        <v>490</v>
      </c>
      <c r="L20" t="s">
        <v>489</v>
      </c>
      <c r="M20" t="s">
        <v>490</v>
      </c>
      <c r="N20" t="s">
        <v>490</v>
      </c>
      <c r="O20" t="s">
        <v>490</v>
      </c>
      <c r="P20" t="s">
        <v>489</v>
      </c>
      <c r="Q20" t="s">
        <v>490</v>
      </c>
      <c r="R20" t="s">
        <v>490</v>
      </c>
      <c r="S20" t="s">
        <v>489</v>
      </c>
      <c r="T20" t="s">
        <v>490</v>
      </c>
      <c r="U20" t="s">
        <v>490</v>
      </c>
      <c r="V20" t="s">
        <v>489</v>
      </c>
      <c r="W20" t="s">
        <v>490</v>
      </c>
      <c r="X20" t="s">
        <v>489</v>
      </c>
      <c r="Y20" t="s">
        <v>490</v>
      </c>
    </row>
    <row r="21" spans="1:25">
      <c r="A21" t="s">
        <v>972</v>
      </c>
      <c r="B21" t="s">
        <v>490</v>
      </c>
      <c r="C21" t="s">
        <v>490</v>
      </c>
      <c r="D21" t="s">
        <v>489</v>
      </c>
      <c r="E21" t="s">
        <v>490</v>
      </c>
      <c r="F21" t="s">
        <v>490</v>
      </c>
      <c r="G21" t="s">
        <v>489</v>
      </c>
      <c r="H21" t="s">
        <v>490</v>
      </c>
      <c r="I21" t="s">
        <v>489</v>
      </c>
      <c r="J21" t="s">
        <v>490</v>
      </c>
      <c r="K21" t="s">
        <v>490</v>
      </c>
      <c r="L21" t="s">
        <v>490</v>
      </c>
      <c r="M21" t="s">
        <v>489</v>
      </c>
      <c r="N21" t="s">
        <v>490</v>
      </c>
      <c r="O21" t="s">
        <v>490</v>
      </c>
      <c r="P21" t="s">
        <v>489</v>
      </c>
      <c r="Q21" t="s">
        <v>490</v>
      </c>
      <c r="R21" t="s">
        <v>490</v>
      </c>
      <c r="S21" t="s">
        <v>489</v>
      </c>
      <c r="T21" t="s">
        <v>490</v>
      </c>
      <c r="U21" t="s">
        <v>490</v>
      </c>
      <c r="V21" t="s">
        <v>489</v>
      </c>
      <c r="W21" t="s">
        <v>490</v>
      </c>
      <c r="X21" t="s">
        <v>489</v>
      </c>
      <c r="Y21" t="s">
        <v>490</v>
      </c>
    </row>
    <row r="22" spans="1:25">
      <c r="A22" t="s">
        <v>972</v>
      </c>
      <c r="B22" t="s">
        <v>490</v>
      </c>
      <c r="C22" t="s">
        <v>489</v>
      </c>
      <c r="D22" t="s">
        <v>490</v>
      </c>
      <c r="E22" t="s">
        <v>490</v>
      </c>
      <c r="F22" t="s">
        <v>490</v>
      </c>
      <c r="G22" t="s">
        <v>489</v>
      </c>
      <c r="H22" t="s">
        <v>490</v>
      </c>
      <c r="I22" t="s">
        <v>490</v>
      </c>
      <c r="J22" t="s">
        <v>489</v>
      </c>
      <c r="K22" t="s">
        <v>490</v>
      </c>
      <c r="L22" t="s">
        <v>490</v>
      </c>
      <c r="M22" t="s">
        <v>489</v>
      </c>
      <c r="N22" t="s">
        <v>490</v>
      </c>
      <c r="O22" t="s">
        <v>490</v>
      </c>
      <c r="P22" t="s">
        <v>489</v>
      </c>
      <c r="Q22" t="s">
        <v>490</v>
      </c>
      <c r="R22" t="s">
        <v>490</v>
      </c>
      <c r="S22" t="s">
        <v>489</v>
      </c>
      <c r="T22" t="s">
        <v>490</v>
      </c>
      <c r="U22" t="s">
        <v>490</v>
      </c>
      <c r="V22" t="s">
        <v>489</v>
      </c>
      <c r="W22" t="s">
        <v>490</v>
      </c>
      <c r="X22" t="s">
        <v>489</v>
      </c>
      <c r="Y22" t="s">
        <v>490</v>
      </c>
    </row>
    <row r="23" spans="1:25">
      <c r="A23" t="s">
        <v>972</v>
      </c>
      <c r="B23" t="s">
        <v>490</v>
      </c>
      <c r="C23" t="s">
        <v>489</v>
      </c>
      <c r="D23" t="s">
        <v>490</v>
      </c>
      <c r="E23" t="s">
        <v>490</v>
      </c>
      <c r="F23" t="s">
        <v>489</v>
      </c>
      <c r="G23" t="s">
        <v>490</v>
      </c>
      <c r="H23" t="s">
        <v>490</v>
      </c>
      <c r="I23" t="s">
        <v>490</v>
      </c>
      <c r="J23" t="s">
        <v>489</v>
      </c>
      <c r="K23" t="s">
        <v>490</v>
      </c>
      <c r="L23" t="s">
        <v>489</v>
      </c>
      <c r="M23" t="s">
        <v>490</v>
      </c>
      <c r="N23" t="s">
        <v>490</v>
      </c>
      <c r="O23" t="s">
        <v>490</v>
      </c>
      <c r="P23" t="s">
        <v>489</v>
      </c>
      <c r="Q23" t="s">
        <v>490</v>
      </c>
      <c r="R23" t="s">
        <v>489</v>
      </c>
      <c r="S23" t="s">
        <v>490</v>
      </c>
      <c r="T23" t="s">
        <v>490</v>
      </c>
      <c r="U23" t="s">
        <v>489</v>
      </c>
      <c r="V23" t="s">
        <v>490</v>
      </c>
      <c r="W23" t="s">
        <v>490</v>
      </c>
      <c r="X23" t="s">
        <v>490</v>
      </c>
      <c r="Y23" t="s">
        <v>489</v>
      </c>
    </row>
    <row r="24" spans="1:25">
      <c r="A24" t="s">
        <v>973</v>
      </c>
      <c r="B24" t="s">
        <v>490</v>
      </c>
      <c r="C24" t="s">
        <v>489</v>
      </c>
      <c r="D24" t="s">
        <v>490</v>
      </c>
      <c r="E24" t="s">
        <v>490</v>
      </c>
      <c r="F24" t="s">
        <v>490</v>
      </c>
      <c r="G24" t="s">
        <v>489</v>
      </c>
      <c r="H24" t="s">
        <v>490</v>
      </c>
      <c r="I24" t="s">
        <v>490</v>
      </c>
      <c r="J24" t="s">
        <v>489</v>
      </c>
      <c r="K24" t="s">
        <v>490</v>
      </c>
      <c r="L24" t="s">
        <v>489</v>
      </c>
      <c r="M24" t="s">
        <v>490</v>
      </c>
      <c r="N24" t="s">
        <v>490</v>
      </c>
      <c r="O24" t="s">
        <v>490</v>
      </c>
      <c r="P24" t="s">
        <v>489</v>
      </c>
      <c r="Q24" t="s">
        <v>490</v>
      </c>
      <c r="R24" t="s">
        <v>489</v>
      </c>
      <c r="S24" t="s">
        <v>490</v>
      </c>
      <c r="T24" t="s">
        <v>490</v>
      </c>
      <c r="U24" t="s">
        <v>489</v>
      </c>
      <c r="V24" t="s">
        <v>490</v>
      </c>
      <c r="W24" t="s">
        <v>490</v>
      </c>
      <c r="X24" t="s">
        <v>490</v>
      </c>
      <c r="Y24" t="s">
        <v>489</v>
      </c>
    </row>
    <row r="25" spans="1:25">
      <c r="A25" t="s">
        <v>954</v>
      </c>
      <c r="B25" t="s">
        <v>490</v>
      </c>
      <c r="C25" t="s">
        <v>489</v>
      </c>
      <c r="D25" t="s">
        <v>490</v>
      </c>
      <c r="E25" t="s">
        <v>490</v>
      </c>
      <c r="F25" t="s">
        <v>490</v>
      </c>
      <c r="G25" t="s">
        <v>489</v>
      </c>
      <c r="H25" t="s">
        <v>490</v>
      </c>
      <c r="I25" t="s">
        <v>490</v>
      </c>
      <c r="J25" t="s">
        <v>489</v>
      </c>
      <c r="K25" t="s">
        <v>490</v>
      </c>
      <c r="L25" t="s">
        <v>489</v>
      </c>
      <c r="M25" t="s">
        <v>490</v>
      </c>
      <c r="N25" t="s">
        <v>490</v>
      </c>
      <c r="O25" t="s">
        <v>490</v>
      </c>
      <c r="P25" t="s">
        <v>489</v>
      </c>
      <c r="Q25" t="s">
        <v>490</v>
      </c>
      <c r="R25" t="s">
        <v>489</v>
      </c>
      <c r="S25" t="s">
        <v>490</v>
      </c>
      <c r="T25" t="s">
        <v>490</v>
      </c>
      <c r="U25" t="s">
        <v>489</v>
      </c>
      <c r="V25" t="s">
        <v>490</v>
      </c>
      <c r="W25" t="s">
        <v>490</v>
      </c>
      <c r="X25" t="s">
        <v>490</v>
      </c>
      <c r="Y25" t="s">
        <v>489</v>
      </c>
    </row>
    <row r="26" spans="1:25">
      <c r="A26" t="s">
        <v>972</v>
      </c>
      <c r="B26" t="s">
        <v>490</v>
      </c>
      <c r="C26" t="s">
        <v>489</v>
      </c>
      <c r="D26" t="s">
        <v>490</v>
      </c>
      <c r="E26" t="s">
        <v>490</v>
      </c>
      <c r="F26" t="s">
        <v>490</v>
      </c>
      <c r="G26" t="s">
        <v>489</v>
      </c>
      <c r="H26" t="s">
        <v>490</v>
      </c>
      <c r="I26" t="s">
        <v>490</v>
      </c>
      <c r="J26" t="s">
        <v>489</v>
      </c>
      <c r="K26" t="s">
        <v>490</v>
      </c>
      <c r="L26" t="s">
        <v>489</v>
      </c>
      <c r="M26" t="s">
        <v>490</v>
      </c>
      <c r="N26" t="s">
        <v>490</v>
      </c>
      <c r="O26" t="s">
        <v>490</v>
      </c>
      <c r="P26" t="s">
        <v>489</v>
      </c>
      <c r="Q26" t="s">
        <v>490</v>
      </c>
      <c r="R26" t="s">
        <v>489</v>
      </c>
      <c r="S26" t="s">
        <v>490</v>
      </c>
      <c r="T26" t="s">
        <v>490</v>
      </c>
      <c r="U26" t="s">
        <v>489</v>
      </c>
      <c r="V26" t="s">
        <v>490</v>
      </c>
      <c r="W26" t="s">
        <v>490</v>
      </c>
      <c r="X26" t="s">
        <v>490</v>
      </c>
      <c r="Y26" t="s">
        <v>489</v>
      </c>
    </row>
    <row r="27" spans="1:25">
      <c r="A27" t="s">
        <v>974</v>
      </c>
      <c r="B27" t="s">
        <v>490</v>
      </c>
      <c r="C27" t="s">
        <v>489</v>
      </c>
      <c r="D27" t="s">
        <v>490</v>
      </c>
      <c r="E27" t="s">
        <v>490</v>
      </c>
      <c r="F27" t="s">
        <v>490</v>
      </c>
      <c r="G27" t="s">
        <v>489</v>
      </c>
      <c r="H27" t="s">
        <v>490</v>
      </c>
      <c r="I27" t="s">
        <v>490</v>
      </c>
      <c r="J27" t="s">
        <v>489</v>
      </c>
      <c r="K27" t="s">
        <v>490</v>
      </c>
      <c r="L27" t="s">
        <v>490</v>
      </c>
      <c r="M27" t="s">
        <v>489</v>
      </c>
      <c r="N27" t="s">
        <v>490</v>
      </c>
      <c r="O27" t="s">
        <v>490</v>
      </c>
      <c r="P27" t="s">
        <v>489</v>
      </c>
      <c r="Q27" t="s">
        <v>490</v>
      </c>
      <c r="R27" t="s">
        <v>489</v>
      </c>
      <c r="S27" t="s">
        <v>490</v>
      </c>
      <c r="T27" t="s">
        <v>490</v>
      </c>
      <c r="U27" t="s">
        <v>489</v>
      </c>
      <c r="V27" t="s">
        <v>490</v>
      </c>
      <c r="W27" t="s">
        <v>490</v>
      </c>
      <c r="X27" t="s">
        <v>490</v>
      </c>
      <c r="Y27" t="s">
        <v>489</v>
      </c>
    </row>
    <row r="28" spans="1:25">
      <c r="A28" t="s">
        <v>974</v>
      </c>
      <c r="B28" t="s">
        <v>490</v>
      </c>
      <c r="C28" t="s">
        <v>489</v>
      </c>
      <c r="D28" t="s">
        <v>490</v>
      </c>
      <c r="E28" t="s">
        <v>490</v>
      </c>
      <c r="F28" t="s">
        <v>490</v>
      </c>
      <c r="G28" t="s">
        <v>489</v>
      </c>
      <c r="H28" t="s">
        <v>490</v>
      </c>
      <c r="I28" t="s">
        <v>490</v>
      </c>
      <c r="J28" t="s">
        <v>489</v>
      </c>
      <c r="K28" t="s">
        <v>490</v>
      </c>
      <c r="L28" t="s">
        <v>490</v>
      </c>
      <c r="M28" t="s">
        <v>489</v>
      </c>
      <c r="N28" t="s">
        <v>490</v>
      </c>
      <c r="O28" t="s">
        <v>490</v>
      </c>
      <c r="P28" t="s">
        <v>489</v>
      </c>
      <c r="Q28" t="s">
        <v>490</v>
      </c>
      <c r="R28" t="s">
        <v>489</v>
      </c>
      <c r="S28" t="s">
        <v>490</v>
      </c>
      <c r="T28" t="s">
        <v>490</v>
      </c>
      <c r="U28" t="s">
        <v>489</v>
      </c>
      <c r="V28" t="s">
        <v>490</v>
      </c>
      <c r="W28" t="s">
        <v>490</v>
      </c>
      <c r="X28" t="s">
        <v>490</v>
      </c>
      <c r="Y28" t="s">
        <v>489</v>
      </c>
    </row>
    <row r="29" spans="1:25">
      <c r="A29" t="s">
        <v>974</v>
      </c>
      <c r="B29" t="s">
        <v>490</v>
      </c>
      <c r="C29" t="s">
        <v>489</v>
      </c>
      <c r="D29" t="s">
        <v>490</v>
      </c>
      <c r="E29" t="s">
        <v>490</v>
      </c>
      <c r="F29" t="s">
        <v>490</v>
      </c>
      <c r="G29" t="s">
        <v>489</v>
      </c>
      <c r="H29" t="s">
        <v>490</v>
      </c>
      <c r="I29" t="s">
        <v>490</v>
      </c>
      <c r="J29" t="s">
        <v>489</v>
      </c>
      <c r="K29" t="s">
        <v>490</v>
      </c>
      <c r="L29" t="s">
        <v>490</v>
      </c>
      <c r="M29" t="s">
        <v>489</v>
      </c>
      <c r="N29" t="s">
        <v>490</v>
      </c>
      <c r="O29" t="s">
        <v>490</v>
      </c>
      <c r="P29" t="s">
        <v>489</v>
      </c>
      <c r="Q29" t="s">
        <v>490</v>
      </c>
      <c r="R29" t="s">
        <v>489</v>
      </c>
      <c r="S29" t="s">
        <v>490</v>
      </c>
      <c r="T29" t="s">
        <v>490</v>
      </c>
      <c r="U29" t="s">
        <v>489</v>
      </c>
      <c r="V29" t="s">
        <v>490</v>
      </c>
      <c r="W29" t="s">
        <v>490</v>
      </c>
      <c r="X29" t="s">
        <v>490</v>
      </c>
      <c r="Y29" t="s">
        <v>489</v>
      </c>
    </row>
    <row r="30" spans="1:25">
      <c r="A30" t="s">
        <v>972</v>
      </c>
      <c r="B30" t="s">
        <v>490</v>
      </c>
      <c r="C30" t="s">
        <v>489</v>
      </c>
      <c r="D30" t="s">
        <v>490</v>
      </c>
      <c r="E30" t="s">
        <v>490</v>
      </c>
      <c r="F30" t="s">
        <v>490</v>
      </c>
      <c r="G30" t="s">
        <v>489</v>
      </c>
      <c r="H30" t="s">
        <v>490</v>
      </c>
      <c r="I30" t="s">
        <v>490</v>
      </c>
      <c r="J30" t="s">
        <v>489</v>
      </c>
      <c r="K30" t="s">
        <v>490</v>
      </c>
      <c r="L30" t="s">
        <v>490</v>
      </c>
      <c r="M30" t="s">
        <v>489</v>
      </c>
      <c r="N30" t="s">
        <v>490</v>
      </c>
      <c r="O30" t="s">
        <v>490</v>
      </c>
      <c r="P30" t="s">
        <v>489</v>
      </c>
      <c r="Q30" t="s">
        <v>490</v>
      </c>
      <c r="R30" t="s">
        <v>489</v>
      </c>
      <c r="S30" t="s">
        <v>490</v>
      </c>
      <c r="T30" t="s">
        <v>490</v>
      </c>
      <c r="U30" t="s">
        <v>489</v>
      </c>
      <c r="V30" t="s">
        <v>490</v>
      </c>
      <c r="W30" t="s">
        <v>490</v>
      </c>
      <c r="X30" t="s">
        <v>490</v>
      </c>
      <c r="Y30" t="s">
        <v>489</v>
      </c>
    </row>
    <row r="31" spans="1:25">
      <c r="A31" t="s">
        <v>974</v>
      </c>
      <c r="B31" t="s">
        <v>490</v>
      </c>
      <c r="C31" t="s">
        <v>490</v>
      </c>
      <c r="D31" t="s">
        <v>489</v>
      </c>
      <c r="E31" t="s">
        <v>490</v>
      </c>
      <c r="F31" t="s">
        <v>490</v>
      </c>
      <c r="G31" t="s">
        <v>489</v>
      </c>
      <c r="H31" t="s">
        <v>490</v>
      </c>
      <c r="I31" t="s">
        <v>490</v>
      </c>
      <c r="J31" t="s">
        <v>489</v>
      </c>
      <c r="K31" t="s">
        <v>490</v>
      </c>
      <c r="L31" t="s">
        <v>490</v>
      </c>
      <c r="M31" t="s">
        <v>489</v>
      </c>
      <c r="N31" t="s">
        <v>490</v>
      </c>
      <c r="O31" t="s">
        <v>490</v>
      </c>
      <c r="P31" t="s">
        <v>489</v>
      </c>
      <c r="Q31" t="s">
        <v>490</v>
      </c>
      <c r="R31" t="s">
        <v>489</v>
      </c>
      <c r="S31" t="s">
        <v>490</v>
      </c>
      <c r="T31" t="s">
        <v>490</v>
      </c>
      <c r="U31" t="s">
        <v>489</v>
      </c>
      <c r="V31" t="s">
        <v>490</v>
      </c>
      <c r="W31" t="s">
        <v>490</v>
      </c>
      <c r="X31" t="s">
        <v>490</v>
      </c>
      <c r="Y31" t="s">
        <v>489</v>
      </c>
    </row>
    <row r="32" spans="1:25">
      <c r="A32" t="s">
        <v>972</v>
      </c>
      <c r="B32" t="s">
        <v>490</v>
      </c>
      <c r="C32" t="s">
        <v>489</v>
      </c>
      <c r="D32" t="s">
        <v>490</v>
      </c>
      <c r="E32" t="s">
        <v>490</v>
      </c>
      <c r="F32" t="s">
        <v>490</v>
      </c>
      <c r="G32" t="s">
        <v>489</v>
      </c>
      <c r="H32" t="s">
        <v>490</v>
      </c>
      <c r="I32" t="s">
        <v>490</v>
      </c>
      <c r="J32" t="s">
        <v>489</v>
      </c>
      <c r="K32" t="s">
        <v>490</v>
      </c>
      <c r="L32" t="s">
        <v>490</v>
      </c>
      <c r="M32" t="s">
        <v>489</v>
      </c>
      <c r="N32" t="s">
        <v>490</v>
      </c>
      <c r="O32" t="s">
        <v>489</v>
      </c>
      <c r="P32" t="s">
        <v>490</v>
      </c>
      <c r="Q32" t="s">
        <v>490</v>
      </c>
      <c r="R32" t="s">
        <v>490</v>
      </c>
      <c r="S32" t="s">
        <v>489</v>
      </c>
      <c r="T32" t="s">
        <v>490</v>
      </c>
      <c r="U32" t="s">
        <v>489</v>
      </c>
      <c r="V32" t="s">
        <v>490</v>
      </c>
      <c r="W32" t="s">
        <v>490</v>
      </c>
      <c r="X32" t="s">
        <v>490</v>
      </c>
      <c r="Y32" t="s">
        <v>489</v>
      </c>
    </row>
    <row r="33" spans="1:25">
      <c r="A33" t="s">
        <v>974</v>
      </c>
      <c r="B33" t="s">
        <v>490</v>
      </c>
      <c r="C33" t="s">
        <v>489</v>
      </c>
      <c r="D33" t="s">
        <v>490</v>
      </c>
      <c r="E33" t="s">
        <v>490</v>
      </c>
      <c r="F33" t="s">
        <v>490</v>
      </c>
      <c r="G33" t="s">
        <v>489</v>
      </c>
      <c r="H33" t="s">
        <v>490</v>
      </c>
      <c r="I33" t="s">
        <v>489</v>
      </c>
      <c r="J33" t="s">
        <v>490</v>
      </c>
      <c r="K33" t="s">
        <v>490</v>
      </c>
      <c r="L33" t="s">
        <v>489</v>
      </c>
      <c r="M33" t="s">
        <v>490</v>
      </c>
      <c r="N33" t="s">
        <v>490</v>
      </c>
      <c r="O33" t="s">
        <v>490</v>
      </c>
      <c r="P33" t="s">
        <v>489</v>
      </c>
      <c r="Q33" t="s">
        <v>490</v>
      </c>
      <c r="R33" t="s">
        <v>490</v>
      </c>
      <c r="S33" t="s">
        <v>489</v>
      </c>
      <c r="T33" t="s">
        <v>490</v>
      </c>
      <c r="U33" t="s">
        <v>489</v>
      </c>
      <c r="V33" t="s">
        <v>490</v>
      </c>
      <c r="W33" t="s">
        <v>490</v>
      </c>
      <c r="X33" t="s">
        <v>490</v>
      </c>
      <c r="Y33" t="s">
        <v>489</v>
      </c>
    </row>
    <row r="34" spans="1:25">
      <c r="A34" t="s">
        <v>974</v>
      </c>
      <c r="B34" t="s">
        <v>490</v>
      </c>
      <c r="C34" t="s">
        <v>489</v>
      </c>
      <c r="D34" t="s">
        <v>490</v>
      </c>
      <c r="E34" t="s">
        <v>490</v>
      </c>
      <c r="F34" t="s">
        <v>489</v>
      </c>
      <c r="G34" t="s">
        <v>490</v>
      </c>
      <c r="H34" t="s">
        <v>490</v>
      </c>
      <c r="I34" t="s">
        <v>490</v>
      </c>
      <c r="J34" t="s">
        <v>489</v>
      </c>
      <c r="K34" t="s">
        <v>490</v>
      </c>
      <c r="L34" t="s">
        <v>489</v>
      </c>
      <c r="M34" t="s">
        <v>490</v>
      </c>
      <c r="N34" t="s">
        <v>490</v>
      </c>
      <c r="O34" t="s">
        <v>490</v>
      </c>
      <c r="P34" t="s">
        <v>489</v>
      </c>
      <c r="Q34" t="s">
        <v>490</v>
      </c>
      <c r="R34" t="s">
        <v>490</v>
      </c>
      <c r="S34" t="s">
        <v>489</v>
      </c>
      <c r="T34" t="s">
        <v>490</v>
      </c>
      <c r="U34" t="s">
        <v>489</v>
      </c>
      <c r="V34" t="s">
        <v>490</v>
      </c>
      <c r="W34" t="s">
        <v>490</v>
      </c>
      <c r="X34" t="s">
        <v>490</v>
      </c>
      <c r="Y34" t="s">
        <v>489</v>
      </c>
    </row>
    <row r="35" spans="1:25">
      <c r="A35" t="s">
        <v>972</v>
      </c>
      <c r="B35" t="s">
        <v>490</v>
      </c>
      <c r="C35" t="s">
        <v>489</v>
      </c>
      <c r="D35" t="s">
        <v>490</v>
      </c>
      <c r="E35" t="s">
        <v>490</v>
      </c>
      <c r="F35" t="s">
        <v>490</v>
      </c>
      <c r="G35" t="s">
        <v>489</v>
      </c>
      <c r="H35" t="s">
        <v>490</v>
      </c>
      <c r="I35" t="s">
        <v>490</v>
      </c>
      <c r="J35" t="s">
        <v>489</v>
      </c>
      <c r="K35" t="s">
        <v>490</v>
      </c>
      <c r="L35" t="s">
        <v>489</v>
      </c>
      <c r="M35" t="s">
        <v>490</v>
      </c>
      <c r="N35" t="s">
        <v>490</v>
      </c>
      <c r="O35" t="s">
        <v>490</v>
      </c>
      <c r="P35" t="s">
        <v>489</v>
      </c>
      <c r="Q35" t="s">
        <v>490</v>
      </c>
      <c r="R35" t="s">
        <v>490</v>
      </c>
      <c r="S35" t="s">
        <v>489</v>
      </c>
      <c r="T35" t="s">
        <v>490</v>
      </c>
      <c r="U35" t="s">
        <v>489</v>
      </c>
      <c r="V35" t="s">
        <v>490</v>
      </c>
      <c r="W35" t="s">
        <v>490</v>
      </c>
      <c r="X35" t="s">
        <v>490</v>
      </c>
      <c r="Y35" t="s">
        <v>489</v>
      </c>
    </row>
    <row r="36" spans="1:25">
      <c r="A36" t="s">
        <v>972</v>
      </c>
      <c r="B36" t="s">
        <v>490</v>
      </c>
      <c r="C36" t="s">
        <v>489</v>
      </c>
      <c r="D36" t="s">
        <v>490</v>
      </c>
      <c r="E36" t="s">
        <v>490</v>
      </c>
      <c r="F36" t="s">
        <v>490</v>
      </c>
      <c r="G36" t="s">
        <v>489</v>
      </c>
      <c r="H36" t="s">
        <v>490</v>
      </c>
      <c r="I36" t="s">
        <v>490</v>
      </c>
      <c r="J36" t="s">
        <v>489</v>
      </c>
      <c r="K36" t="s">
        <v>490</v>
      </c>
      <c r="L36" t="s">
        <v>489</v>
      </c>
      <c r="M36" t="s">
        <v>490</v>
      </c>
      <c r="N36" t="s">
        <v>490</v>
      </c>
      <c r="O36" t="s">
        <v>490</v>
      </c>
      <c r="P36" t="s">
        <v>489</v>
      </c>
      <c r="Q36" t="s">
        <v>490</v>
      </c>
      <c r="R36" t="s">
        <v>490</v>
      </c>
      <c r="S36" t="s">
        <v>489</v>
      </c>
      <c r="T36" t="s">
        <v>490</v>
      </c>
      <c r="U36" t="s">
        <v>489</v>
      </c>
      <c r="V36" t="s">
        <v>490</v>
      </c>
      <c r="W36" t="s">
        <v>490</v>
      </c>
      <c r="X36" t="s">
        <v>490</v>
      </c>
      <c r="Y36" t="s">
        <v>489</v>
      </c>
    </row>
    <row r="37" spans="1:25">
      <c r="A37" t="s">
        <v>974</v>
      </c>
      <c r="B37" t="s">
        <v>490</v>
      </c>
      <c r="C37" t="s">
        <v>489</v>
      </c>
      <c r="D37" t="s">
        <v>490</v>
      </c>
      <c r="E37" t="s">
        <v>490</v>
      </c>
      <c r="F37" t="s">
        <v>490</v>
      </c>
      <c r="G37" t="s">
        <v>489</v>
      </c>
      <c r="H37" t="s">
        <v>490</v>
      </c>
      <c r="I37" t="s">
        <v>490</v>
      </c>
      <c r="J37" t="s">
        <v>489</v>
      </c>
      <c r="K37" t="s">
        <v>490</v>
      </c>
      <c r="L37" t="s">
        <v>489</v>
      </c>
      <c r="M37" t="s">
        <v>490</v>
      </c>
      <c r="N37" t="s">
        <v>490</v>
      </c>
      <c r="O37" t="s">
        <v>490</v>
      </c>
      <c r="P37" t="s">
        <v>489</v>
      </c>
      <c r="Q37" t="s">
        <v>490</v>
      </c>
      <c r="R37" t="s">
        <v>490</v>
      </c>
      <c r="S37" t="s">
        <v>489</v>
      </c>
      <c r="T37" t="s">
        <v>490</v>
      </c>
      <c r="U37" t="s">
        <v>489</v>
      </c>
      <c r="V37" t="s">
        <v>490</v>
      </c>
      <c r="W37" t="s">
        <v>490</v>
      </c>
      <c r="X37" t="s">
        <v>490</v>
      </c>
      <c r="Y37" t="s">
        <v>489</v>
      </c>
    </row>
    <row r="38" spans="1:25">
      <c r="A38" t="s">
        <v>972</v>
      </c>
      <c r="B38" t="s">
        <v>490</v>
      </c>
      <c r="C38" t="s">
        <v>489</v>
      </c>
      <c r="D38" t="s">
        <v>490</v>
      </c>
      <c r="E38" t="s">
        <v>490</v>
      </c>
      <c r="F38" t="s">
        <v>490</v>
      </c>
      <c r="G38" t="s">
        <v>489</v>
      </c>
      <c r="H38" t="s">
        <v>490</v>
      </c>
      <c r="I38" t="s">
        <v>490</v>
      </c>
      <c r="J38" t="s">
        <v>489</v>
      </c>
      <c r="K38" t="s">
        <v>490</v>
      </c>
      <c r="L38" t="s">
        <v>489</v>
      </c>
      <c r="M38" t="s">
        <v>490</v>
      </c>
      <c r="N38" t="s">
        <v>490</v>
      </c>
      <c r="O38" t="s">
        <v>490</v>
      </c>
      <c r="P38" t="s">
        <v>489</v>
      </c>
      <c r="Q38" t="s">
        <v>490</v>
      </c>
      <c r="R38" t="s">
        <v>490</v>
      </c>
      <c r="S38" t="s">
        <v>489</v>
      </c>
      <c r="T38" t="s">
        <v>490</v>
      </c>
      <c r="U38" t="s">
        <v>489</v>
      </c>
      <c r="V38" t="s">
        <v>490</v>
      </c>
      <c r="W38" t="s">
        <v>490</v>
      </c>
      <c r="X38" t="s">
        <v>490</v>
      </c>
      <c r="Y38" t="s">
        <v>489</v>
      </c>
    </row>
    <row r="39" spans="1:25">
      <c r="A39" t="s">
        <v>972</v>
      </c>
      <c r="B39" t="s">
        <v>490</v>
      </c>
      <c r="C39" t="s">
        <v>489</v>
      </c>
      <c r="D39" t="s">
        <v>490</v>
      </c>
      <c r="E39" t="s">
        <v>490</v>
      </c>
      <c r="F39" t="s">
        <v>490</v>
      </c>
      <c r="G39" t="s">
        <v>489</v>
      </c>
      <c r="H39" t="s">
        <v>490</v>
      </c>
      <c r="I39" t="s">
        <v>490</v>
      </c>
      <c r="J39" t="s">
        <v>489</v>
      </c>
      <c r="K39" t="s">
        <v>490</v>
      </c>
      <c r="L39" t="s">
        <v>489</v>
      </c>
      <c r="M39" t="s">
        <v>490</v>
      </c>
      <c r="N39" t="s">
        <v>490</v>
      </c>
      <c r="O39" t="s">
        <v>490</v>
      </c>
      <c r="P39" t="s">
        <v>489</v>
      </c>
      <c r="Q39" t="s">
        <v>490</v>
      </c>
      <c r="R39" t="s">
        <v>490</v>
      </c>
      <c r="S39" t="s">
        <v>489</v>
      </c>
      <c r="T39" t="s">
        <v>490</v>
      </c>
      <c r="U39" t="s">
        <v>489</v>
      </c>
      <c r="V39" t="s">
        <v>490</v>
      </c>
      <c r="W39" t="s">
        <v>490</v>
      </c>
      <c r="X39" t="s">
        <v>490</v>
      </c>
      <c r="Y39" t="s">
        <v>489</v>
      </c>
    </row>
    <row r="40" spans="1:25">
      <c r="A40" t="s">
        <v>973</v>
      </c>
      <c r="B40" t="s">
        <v>490</v>
      </c>
      <c r="C40" t="s">
        <v>489</v>
      </c>
      <c r="D40" t="s">
        <v>490</v>
      </c>
      <c r="E40" t="s">
        <v>490</v>
      </c>
      <c r="F40" t="s">
        <v>490</v>
      </c>
      <c r="G40" t="s">
        <v>489</v>
      </c>
      <c r="H40" t="s">
        <v>490</v>
      </c>
      <c r="I40" t="s">
        <v>490</v>
      </c>
      <c r="J40" t="s">
        <v>489</v>
      </c>
      <c r="K40" t="s">
        <v>490</v>
      </c>
      <c r="L40" t="s">
        <v>489</v>
      </c>
      <c r="M40" t="s">
        <v>490</v>
      </c>
      <c r="N40" t="s">
        <v>490</v>
      </c>
      <c r="O40" t="s">
        <v>490</v>
      </c>
      <c r="P40" t="s">
        <v>489</v>
      </c>
      <c r="Q40" t="s">
        <v>490</v>
      </c>
      <c r="R40" t="s">
        <v>490</v>
      </c>
      <c r="S40" t="s">
        <v>489</v>
      </c>
      <c r="T40" t="s">
        <v>490</v>
      </c>
      <c r="U40" t="s">
        <v>489</v>
      </c>
      <c r="V40" t="s">
        <v>490</v>
      </c>
      <c r="W40" t="s">
        <v>490</v>
      </c>
      <c r="X40" t="s">
        <v>490</v>
      </c>
      <c r="Y40" t="s">
        <v>489</v>
      </c>
    </row>
    <row r="41" spans="1:25">
      <c r="A41" t="s">
        <v>972</v>
      </c>
      <c r="B41" t="s">
        <v>490</v>
      </c>
      <c r="C41" t="s">
        <v>490</v>
      </c>
      <c r="D41" t="s">
        <v>489</v>
      </c>
      <c r="E41" t="s">
        <v>490</v>
      </c>
      <c r="F41" t="s">
        <v>489</v>
      </c>
      <c r="G41" t="s">
        <v>490</v>
      </c>
      <c r="H41" t="s">
        <v>490</v>
      </c>
      <c r="I41" t="s">
        <v>489</v>
      </c>
      <c r="J41" t="s">
        <v>490</v>
      </c>
      <c r="K41" t="s">
        <v>490</v>
      </c>
      <c r="L41" t="s">
        <v>490</v>
      </c>
      <c r="M41" t="s">
        <v>489</v>
      </c>
      <c r="N41" t="s">
        <v>490</v>
      </c>
      <c r="O41" t="s">
        <v>490</v>
      </c>
      <c r="P41" t="s">
        <v>489</v>
      </c>
      <c r="Q41" t="s">
        <v>490</v>
      </c>
      <c r="R41" t="s">
        <v>490</v>
      </c>
      <c r="S41" t="s">
        <v>489</v>
      </c>
      <c r="T41" t="s">
        <v>490</v>
      </c>
      <c r="U41" t="s">
        <v>489</v>
      </c>
      <c r="V41" t="s">
        <v>490</v>
      </c>
      <c r="W41" t="s">
        <v>490</v>
      </c>
      <c r="X41" t="s">
        <v>490</v>
      </c>
      <c r="Y41" t="s">
        <v>489</v>
      </c>
    </row>
    <row r="42" spans="1:25">
      <c r="A42" t="s">
        <v>972</v>
      </c>
      <c r="B42" t="s">
        <v>490</v>
      </c>
      <c r="C42" t="s">
        <v>489</v>
      </c>
      <c r="D42" t="s">
        <v>490</v>
      </c>
      <c r="E42" t="s">
        <v>490</v>
      </c>
      <c r="F42" t="s">
        <v>490</v>
      </c>
      <c r="G42" t="s">
        <v>489</v>
      </c>
      <c r="H42" t="s">
        <v>490</v>
      </c>
      <c r="I42" t="s">
        <v>489</v>
      </c>
      <c r="J42" t="s">
        <v>490</v>
      </c>
      <c r="K42" t="s">
        <v>490</v>
      </c>
      <c r="L42" t="s">
        <v>490</v>
      </c>
      <c r="M42" t="s">
        <v>489</v>
      </c>
      <c r="N42" t="s">
        <v>490</v>
      </c>
      <c r="O42" t="s">
        <v>490</v>
      </c>
      <c r="P42" t="s">
        <v>489</v>
      </c>
      <c r="Q42" t="s">
        <v>490</v>
      </c>
      <c r="R42" t="s">
        <v>490</v>
      </c>
      <c r="S42" t="s">
        <v>489</v>
      </c>
      <c r="T42" t="s">
        <v>490</v>
      </c>
      <c r="U42" t="s">
        <v>489</v>
      </c>
      <c r="V42" t="s">
        <v>490</v>
      </c>
      <c r="W42" t="s">
        <v>490</v>
      </c>
      <c r="X42" t="s">
        <v>490</v>
      </c>
      <c r="Y42" t="s">
        <v>489</v>
      </c>
    </row>
    <row r="43" spans="1:25">
      <c r="A43" t="s">
        <v>972</v>
      </c>
      <c r="B43" t="s">
        <v>490</v>
      </c>
      <c r="C43" t="s">
        <v>489</v>
      </c>
      <c r="D43" t="s">
        <v>490</v>
      </c>
      <c r="E43" t="s">
        <v>490</v>
      </c>
      <c r="F43" t="s">
        <v>490</v>
      </c>
      <c r="G43" t="s">
        <v>489</v>
      </c>
      <c r="H43" t="s">
        <v>490</v>
      </c>
      <c r="I43" t="s">
        <v>489</v>
      </c>
      <c r="J43" t="s">
        <v>490</v>
      </c>
      <c r="K43" t="s">
        <v>490</v>
      </c>
      <c r="L43" t="s">
        <v>490</v>
      </c>
      <c r="M43" t="s">
        <v>489</v>
      </c>
      <c r="N43" t="s">
        <v>490</v>
      </c>
      <c r="O43" t="s">
        <v>490</v>
      </c>
      <c r="P43" t="s">
        <v>489</v>
      </c>
      <c r="Q43" t="s">
        <v>490</v>
      </c>
      <c r="R43" t="s">
        <v>490</v>
      </c>
      <c r="S43" t="s">
        <v>489</v>
      </c>
      <c r="T43" t="s">
        <v>490</v>
      </c>
      <c r="U43" t="s">
        <v>489</v>
      </c>
      <c r="V43" t="s">
        <v>490</v>
      </c>
      <c r="W43" t="s">
        <v>490</v>
      </c>
      <c r="X43" t="s">
        <v>490</v>
      </c>
      <c r="Y43" t="s">
        <v>489</v>
      </c>
    </row>
    <row r="44" spans="1:25">
      <c r="A44" t="s">
        <v>954</v>
      </c>
      <c r="B44" t="s">
        <v>490</v>
      </c>
      <c r="C44" t="s">
        <v>489</v>
      </c>
      <c r="D44" t="s">
        <v>490</v>
      </c>
      <c r="E44" t="s">
        <v>490</v>
      </c>
      <c r="F44" t="s">
        <v>490</v>
      </c>
      <c r="G44" t="s">
        <v>489</v>
      </c>
      <c r="H44" t="s">
        <v>490</v>
      </c>
      <c r="I44" t="s">
        <v>490</v>
      </c>
      <c r="J44" t="s">
        <v>489</v>
      </c>
      <c r="K44" t="s">
        <v>490</v>
      </c>
      <c r="L44" t="s">
        <v>490</v>
      </c>
      <c r="M44" t="s">
        <v>489</v>
      </c>
      <c r="N44" t="s">
        <v>490</v>
      </c>
      <c r="O44" t="s">
        <v>490</v>
      </c>
      <c r="P44" t="s">
        <v>489</v>
      </c>
      <c r="Q44" t="s">
        <v>490</v>
      </c>
      <c r="R44" t="s">
        <v>490</v>
      </c>
      <c r="S44" t="s">
        <v>489</v>
      </c>
      <c r="T44" t="s">
        <v>490</v>
      </c>
      <c r="U44" t="s">
        <v>489</v>
      </c>
      <c r="V44" t="s">
        <v>490</v>
      </c>
      <c r="W44" t="s">
        <v>490</v>
      </c>
      <c r="X44" t="s">
        <v>490</v>
      </c>
      <c r="Y44" t="s">
        <v>489</v>
      </c>
    </row>
    <row r="45" spans="1:25">
      <c r="A45" t="s">
        <v>954</v>
      </c>
      <c r="B45" t="s">
        <v>490</v>
      </c>
      <c r="C45" t="s">
        <v>489</v>
      </c>
      <c r="D45" t="s">
        <v>490</v>
      </c>
      <c r="E45" t="s">
        <v>490</v>
      </c>
      <c r="F45" t="s">
        <v>490</v>
      </c>
      <c r="G45" t="s">
        <v>489</v>
      </c>
      <c r="H45" t="s">
        <v>490</v>
      </c>
      <c r="I45" t="s">
        <v>490</v>
      </c>
      <c r="J45" t="s">
        <v>489</v>
      </c>
      <c r="K45" t="s">
        <v>490</v>
      </c>
      <c r="L45" t="s">
        <v>490</v>
      </c>
      <c r="M45" t="s">
        <v>489</v>
      </c>
      <c r="N45" t="s">
        <v>490</v>
      </c>
      <c r="O45" t="s">
        <v>490</v>
      </c>
      <c r="P45" t="s">
        <v>489</v>
      </c>
      <c r="Q45" t="s">
        <v>490</v>
      </c>
      <c r="R45" t="s">
        <v>490</v>
      </c>
      <c r="S45" t="s">
        <v>489</v>
      </c>
      <c r="T45" t="s">
        <v>490</v>
      </c>
      <c r="U45" t="s">
        <v>489</v>
      </c>
      <c r="V45" t="s">
        <v>490</v>
      </c>
      <c r="W45" t="s">
        <v>490</v>
      </c>
      <c r="X45" t="s">
        <v>490</v>
      </c>
      <c r="Y45" t="s">
        <v>489</v>
      </c>
    </row>
    <row r="46" spans="1:25">
      <c r="A46" t="s">
        <v>972</v>
      </c>
      <c r="B46" t="s">
        <v>490</v>
      </c>
      <c r="C46" t="s">
        <v>489</v>
      </c>
      <c r="D46" t="s">
        <v>490</v>
      </c>
      <c r="E46" t="s">
        <v>490</v>
      </c>
      <c r="F46" t="s">
        <v>490</v>
      </c>
      <c r="G46" t="s">
        <v>489</v>
      </c>
      <c r="H46" t="s">
        <v>490</v>
      </c>
      <c r="I46" t="s">
        <v>490</v>
      </c>
      <c r="J46" t="s">
        <v>489</v>
      </c>
      <c r="K46" t="s">
        <v>490</v>
      </c>
      <c r="L46" t="s">
        <v>490</v>
      </c>
      <c r="M46" t="s">
        <v>489</v>
      </c>
      <c r="N46" t="s">
        <v>490</v>
      </c>
      <c r="O46" t="s">
        <v>490</v>
      </c>
      <c r="P46" t="s">
        <v>489</v>
      </c>
      <c r="Q46" t="s">
        <v>490</v>
      </c>
      <c r="R46" t="s">
        <v>490</v>
      </c>
      <c r="S46" t="s">
        <v>489</v>
      </c>
      <c r="T46" t="s">
        <v>490</v>
      </c>
      <c r="U46" t="s">
        <v>489</v>
      </c>
      <c r="V46" t="s">
        <v>490</v>
      </c>
      <c r="W46" t="s">
        <v>490</v>
      </c>
      <c r="X46" t="s">
        <v>490</v>
      </c>
      <c r="Y46" t="s">
        <v>489</v>
      </c>
    </row>
    <row r="47" spans="1:25">
      <c r="A47" t="s">
        <v>972</v>
      </c>
      <c r="B47" t="s">
        <v>490</v>
      </c>
      <c r="C47" t="s">
        <v>489</v>
      </c>
      <c r="D47" t="s">
        <v>490</v>
      </c>
      <c r="E47" t="s">
        <v>490</v>
      </c>
      <c r="F47" t="s">
        <v>490</v>
      </c>
      <c r="G47" t="s">
        <v>489</v>
      </c>
      <c r="H47" t="s">
        <v>490</v>
      </c>
      <c r="I47" t="s">
        <v>490</v>
      </c>
      <c r="J47" t="s">
        <v>489</v>
      </c>
      <c r="K47" t="s">
        <v>490</v>
      </c>
      <c r="L47" t="s">
        <v>490</v>
      </c>
      <c r="M47" t="s">
        <v>489</v>
      </c>
      <c r="N47" t="s">
        <v>490</v>
      </c>
      <c r="O47" t="s">
        <v>490</v>
      </c>
      <c r="P47" t="s">
        <v>489</v>
      </c>
      <c r="Q47" t="s">
        <v>490</v>
      </c>
      <c r="R47" t="s">
        <v>490</v>
      </c>
      <c r="S47" t="s">
        <v>489</v>
      </c>
      <c r="T47" t="s">
        <v>490</v>
      </c>
      <c r="U47" t="s">
        <v>489</v>
      </c>
      <c r="V47" t="s">
        <v>490</v>
      </c>
      <c r="W47" t="s">
        <v>490</v>
      </c>
      <c r="X47" t="s">
        <v>490</v>
      </c>
      <c r="Y47" t="s">
        <v>489</v>
      </c>
    </row>
    <row r="48" spans="1:25">
      <c r="A48" t="s">
        <v>972</v>
      </c>
      <c r="B48" t="s">
        <v>490</v>
      </c>
      <c r="C48" t="s">
        <v>489</v>
      </c>
      <c r="D48" t="s">
        <v>490</v>
      </c>
      <c r="E48" t="s">
        <v>490</v>
      </c>
      <c r="F48" t="s">
        <v>490</v>
      </c>
      <c r="G48" t="s">
        <v>489</v>
      </c>
      <c r="H48" t="s">
        <v>490</v>
      </c>
      <c r="I48" t="s">
        <v>490</v>
      </c>
      <c r="J48" t="s">
        <v>489</v>
      </c>
      <c r="K48" t="s">
        <v>490</v>
      </c>
      <c r="L48" t="s">
        <v>490</v>
      </c>
      <c r="M48" t="s">
        <v>489</v>
      </c>
      <c r="N48" t="s">
        <v>490</v>
      </c>
      <c r="O48" t="s">
        <v>490</v>
      </c>
      <c r="P48" t="s">
        <v>489</v>
      </c>
      <c r="Q48" t="s">
        <v>490</v>
      </c>
      <c r="R48" t="s">
        <v>490</v>
      </c>
      <c r="S48" t="s">
        <v>489</v>
      </c>
      <c r="T48" t="s">
        <v>490</v>
      </c>
      <c r="U48" t="s">
        <v>489</v>
      </c>
      <c r="V48" t="s">
        <v>490</v>
      </c>
      <c r="W48" t="s">
        <v>490</v>
      </c>
      <c r="X48" t="s">
        <v>490</v>
      </c>
      <c r="Y48" t="s">
        <v>489</v>
      </c>
    </row>
    <row r="49" spans="1:25">
      <c r="A49" t="s">
        <v>972</v>
      </c>
      <c r="B49" t="s">
        <v>490</v>
      </c>
      <c r="C49" t="s">
        <v>489</v>
      </c>
      <c r="D49" t="s">
        <v>490</v>
      </c>
      <c r="E49" t="s">
        <v>490</v>
      </c>
      <c r="F49" t="s">
        <v>490</v>
      </c>
      <c r="G49" t="s">
        <v>489</v>
      </c>
      <c r="H49" t="s">
        <v>490</v>
      </c>
      <c r="I49" t="s">
        <v>490</v>
      </c>
      <c r="J49" t="s">
        <v>489</v>
      </c>
      <c r="K49" t="s">
        <v>490</v>
      </c>
      <c r="L49" t="s">
        <v>490</v>
      </c>
      <c r="M49" t="s">
        <v>489</v>
      </c>
      <c r="N49" t="s">
        <v>490</v>
      </c>
      <c r="O49" t="s">
        <v>490</v>
      </c>
      <c r="P49" t="s">
        <v>489</v>
      </c>
      <c r="Q49" t="s">
        <v>490</v>
      </c>
      <c r="R49" t="s">
        <v>490</v>
      </c>
      <c r="S49" t="s">
        <v>489</v>
      </c>
      <c r="T49" t="s">
        <v>490</v>
      </c>
      <c r="U49" t="s">
        <v>489</v>
      </c>
      <c r="V49" t="s">
        <v>490</v>
      </c>
      <c r="W49" t="s">
        <v>490</v>
      </c>
      <c r="X49" t="s">
        <v>490</v>
      </c>
      <c r="Y49" t="s">
        <v>489</v>
      </c>
    </row>
    <row r="50" spans="1:25">
      <c r="A50" t="s">
        <v>972</v>
      </c>
      <c r="B50" t="s">
        <v>490</v>
      </c>
      <c r="C50" t="s">
        <v>489</v>
      </c>
      <c r="D50" t="s">
        <v>490</v>
      </c>
      <c r="E50" t="s">
        <v>490</v>
      </c>
      <c r="F50" t="s">
        <v>490</v>
      </c>
      <c r="G50" t="s">
        <v>489</v>
      </c>
      <c r="H50" t="s">
        <v>490</v>
      </c>
      <c r="I50" t="s">
        <v>490</v>
      </c>
      <c r="J50" t="s">
        <v>489</v>
      </c>
      <c r="K50" t="s">
        <v>490</v>
      </c>
      <c r="L50" t="s">
        <v>490</v>
      </c>
      <c r="M50" t="s">
        <v>489</v>
      </c>
      <c r="N50" t="s">
        <v>490</v>
      </c>
      <c r="O50" t="s">
        <v>490</v>
      </c>
      <c r="P50" t="s">
        <v>489</v>
      </c>
      <c r="Q50" t="s">
        <v>490</v>
      </c>
      <c r="R50" t="s">
        <v>490</v>
      </c>
      <c r="S50" t="s">
        <v>489</v>
      </c>
      <c r="T50" t="s">
        <v>490</v>
      </c>
      <c r="U50" t="s">
        <v>489</v>
      </c>
      <c r="V50" t="s">
        <v>490</v>
      </c>
      <c r="W50" t="s">
        <v>490</v>
      </c>
      <c r="X50" t="s">
        <v>490</v>
      </c>
      <c r="Y50" t="s">
        <v>489</v>
      </c>
    </row>
    <row r="51" spans="1:25">
      <c r="A51" t="s">
        <v>972</v>
      </c>
      <c r="B51" t="s">
        <v>490</v>
      </c>
      <c r="C51" t="s">
        <v>489</v>
      </c>
      <c r="D51" t="s">
        <v>490</v>
      </c>
      <c r="E51" t="s">
        <v>490</v>
      </c>
      <c r="F51" t="s">
        <v>490</v>
      </c>
      <c r="G51" t="s">
        <v>489</v>
      </c>
      <c r="H51" t="s">
        <v>490</v>
      </c>
      <c r="I51" t="s">
        <v>490</v>
      </c>
      <c r="J51" t="s">
        <v>489</v>
      </c>
      <c r="K51" t="s">
        <v>490</v>
      </c>
      <c r="L51" t="s">
        <v>490</v>
      </c>
      <c r="M51" t="s">
        <v>489</v>
      </c>
      <c r="N51" t="s">
        <v>490</v>
      </c>
      <c r="O51" t="s">
        <v>490</v>
      </c>
      <c r="P51" t="s">
        <v>489</v>
      </c>
      <c r="Q51" t="s">
        <v>490</v>
      </c>
      <c r="R51" t="s">
        <v>490</v>
      </c>
      <c r="S51" t="s">
        <v>489</v>
      </c>
      <c r="T51" t="s">
        <v>490</v>
      </c>
      <c r="U51" t="s">
        <v>489</v>
      </c>
      <c r="V51" t="s">
        <v>490</v>
      </c>
      <c r="W51" t="s">
        <v>490</v>
      </c>
      <c r="X51" t="s">
        <v>490</v>
      </c>
      <c r="Y51" t="s">
        <v>489</v>
      </c>
    </row>
    <row r="52" spans="1:25">
      <c r="A52" t="s">
        <v>972</v>
      </c>
      <c r="B52" t="s">
        <v>490</v>
      </c>
      <c r="C52" t="s">
        <v>489</v>
      </c>
      <c r="D52" t="s">
        <v>490</v>
      </c>
      <c r="E52" t="s">
        <v>490</v>
      </c>
      <c r="F52" t="s">
        <v>490</v>
      </c>
      <c r="G52" t="s">
        <v>489</v>
      </c>
      <c r="H52" t="s">
        <v>490</v>
      </c>
      <c r="I52" t="s">
        <v>490</v>
      </c>
      <c r="J52" t="s">
        <v>489</v>
      </c>
      <c r="K52" t="s">
        <v>490</v>
      </c>
      <c r="L52" t="s">
        <v>490</v>
      </c>
      <c r="M52" t="s">
        <v>489</v>
      </c>
      <c r="N52" t="s">
        <v>490</v>
      </c>
      <c r="O52" t="s">
        <v>490</v>
      </c>
      <c r="P52" t="s">
        <v>489</v>
      </c>
      <c r="Q52" t="s">
        <v>490</v>
      </c>
      <c r="R52" t="s">
        <v>490</v>
      </c>
      <c r="S52" t="s">
        <v>489</v>
      </c>
      <c r="T52" t="s">
        <v>490</v>
      </c>
      <c r="U52" t="s">
        <v>489</v>
      </c>
      <c r="V52" t="s">
        <v>490</v>
      </c>
      <c r="W52" t="s">
        <v>490</v>
      </c>
      <c r="X52" t="s">
        <v>490</v>
      </c>
      <c r="Y52" t="s">
        <v>489</v>
      </c>
    </row>
    <row r="53" spans="1:25">
      <c r="A53" t="s">
        <v>972</v>
      </c>
      <c r="B53" t="s">
        <v>490</v>
      </c>
      <c r="C53" t="s">
        <v>490</v>
      </c>
      <c r="D53" t="s">
        <v>489</v>
      </c>
      <c r="E53" t="s">
        <v>490</v>
      </c>
      <c r="F53" t="s">
        <v>490</v>
      </c>
      <c r="G53" t="s">
        <v>489</v>
      </c>
      <c r="H53" t="s">
        <v>490</v>
      </c>
      <c r="I53" t="s">
        <v>490</v>
      </c>
      <c r="J53" t="s">
        <v>489</v>
      </c>
      <c r="K53" t="s">
        <v>490</v>
      </c>
      <c r="L53" t="s">
        <v>490</v>
      </c>
      <c r="M53" t="s">
        <v>489</v>
      </c>
      <c r="N53" t="s">
        <v>490</v>
      </c>
      <c r="O53" t="s">
        <v>490</v>
      </c>
      <c r="P53" t="s">
        <v>489</v>
      </c>
      <c r="Q53" t="s">
        <v>490</v>
      </c>
      <c r="R53" t="s">
        <v>490</v>
      </c>
      <c r="S53" t="s">
        <v>489</v>
      </c>
      <c r="T53" t="s">
        <v>490</v>
      </c>
      <c r="U53" t="s">
        <v>489</v>
      </c>
      <c r="V53" t="s">
        <v>490</v>
      </c>
      <c r="W53" t="s">
        <v>490</v>
      </c>
      <c r="X53" t="s">
        <v>490</v>
      </c>
      <c r="Y53" t="s">
        <v>489</v>
      </c>
    </row>
    <row r="54" spans="1:25">
      <c r="A54" t="s">
        <v>973</v>
      </c>
      <c r="B54" t="s">
        <v>490</v>
      </c>
      <c r="C54" t="s">
        <v>489</v>
      </c>
      <c r="D54" t="s">
        <v>490</v>
      </c>
      <c r="E54" t="s">
        <v>490</v>
      </c>
      <c r="F54" t="s">
        <v>489</v>
      </c>
      <c r="G54" t="s">
        <v>490</v>
      </c>
      <c r="H54" t="s">
        <v>490</v>
      </c>
      <c r="I54" t="s">
        <v>490</v>
      </c>
      <c r="J54" t="s">
        <v>489</v>
      </c>
      <c r="K54" t="s">
        <v>490</v>
      </c>
      <c r="L54" t="s">
        <v>489</v>
      </c>
      <c r="M54" t="s">
        <v>490</v>
      </c>
      <c r="N54" t="s">
        <v>490</v>
      </c>
      <c r="O54" t="s">
        <v>490</v>
      </c>
      <c r="P54" t="s">
        <v>489</v>
      </c>
      <c r="Q54" t="s">
        <v>490</v>
      </c>
      <c r="R54" t="s">
        <v>489</v>
      </c>
      <c r="S54" t="s">
        <v>490</v>
      </c>
      <c r="T54" t="s">
        <v>490</v>
      </c>
      <c r="U54" t="s">
        <v>490</v>
      </c>
      <c r="V54" t="s">
        <v>489</v>
      </c>
      <c r="W54" t="s">
        <v>490</v>
      </c>
      <c r="X54" t="s">
        <v>490</v>
      </c>
      <c r="Y54" t="s">
        <v>489</v>
      </c>
    </row>
    <row r="55" spans="1:25">
      <c r="A55" t="s">
        <v>972</v>
      </c>
      <c r="B55" t="s">
        <v>490</v>
      </c>
      <c r="C55" t="s">
        <v>489</v>
      </c>
      <c r="D55" t="s">
        <v>490</v>
      </c>
      <c r="E55" t="s">
        <v>490</v>
      </c>
      <c r="F55" t="s">
        <v>490</v>
      </c>
      <c r="G55" t="s">
        <v>489</v>
      </c>
      <c r="H55" t="s">
        <v>490</v>
      </c>
      <c r="I55" t="s">
        <v>490</v>
      </c>
      <c r="J55" t="s">
        <v>489</v>
      </c>
      <c r="K55" t="s">
        <v>490</v>
      </c>
      <c r="L55" t="s">
        <v>489</v>
      </c>
      <c r="M55" t="s">
        <v>490</v>
      </c>
      <c r="N55" t="s">
        <v>490</v>
      </c>
      <c r="O55" t="s">
        <v>490</v>
      </c>
      <c r="P55" t="s">
        <v>489</v>
      </c>
      <c r="Q55" t="s">
        <v>490</v>
      </c>
      <c r="R55" t="s">
        <v>490</v>
      </c>
      <c r="S55" t="s">
        <v>489</v>
      </c>
      <c r="T55" t="s">
        <v>490</v>
      </c>
      <c r="U55" t="s">
        <v>490</v>
      </c>
      <c r="V55" t="s">
        <v>489</v>
      </c>
      <c r="W55" t="s">
        <v>490</v>
      </c>
      <c r="X55" t="s">
        <v>490</v>
      </c>
      <c r="Y55" t="s">
        <v>489</v>
      </c>
    </row>
    <row r="56" spans="1:25">
      <c r="A56" t="s">
        <v>974</v>
      </c>
      <c r="B56" t="s">
        <v>490</v>
      </c>
      <c r="C56" t="s">
        <v>489</v>
      </c>
      <c r="D56" t="s">
        <v>490</v>
      </c>
      <c r="E56" t="s">
        <v>490</v>
      </c>
      <c r="F56" t="s">
        <v>490</v>
      </c>
      <c r="G56" t="s">
        <v>489</v>
      </c>
      <c r="H56" t="s">
        <v>490</v>
      </c>
      <c r="I56" t="s">
        <v>490</v>
      </c>
      <c r="J56" t="s">
        <v>489</v>
      </c>
      <c r="K56" t="s">
        <v>490</v>
      </c>
      <c r="L56" t="s">
        <v>489</v>
      </c>
      <c r="M56" t="s">
        <v>490</v>
      </c>
      <c r="N56" t="s">
        <v>490</v>
      </c>
      <c r="O56" t="s">
        <v>490</v>
      </c>
      <c r="P56" t="s">
        <v>489</v>
      </c>
      <c r="Q56" t="s">
        <v>490</v>
      </c>
      <c r="R56" t="s">
        <v>490</v>
      </c>
      <c r="S56" t="s">
        <v>489</v>
      </c>
      <c r="T56" t="s">
        <v>490</v>
      </c>
      <c r="U56" t="s">
        <v>490</v>
      </c>
      <c r="V56" t="s">
        <v>489</v>
      </c>
      <c r="W56" t="s">
        <v>490</v>
      </c>
      <c r="X56" t="s">
        <v>490</v>
      </c>
      <c r="Y56" t="s">
        <v>489</v>
      </c>
    </row>
    <row r="57" spans="1:25">
      <c r="A57" t="s">
        <v>974</v>
      </c>
      <c r="B57" t="s">
        <v>490</v>
      </c>
      <c r="C57" t="s">
        <v>489</v>
      </c>
      <c r="D57" t="s">
        <v>490</v>
      </c>
      <c r="E57" t="s">
        <v>490</v>
      </c>
      <c r="F57" t="s">
        <v>490</v>
      </c>
      <c r="G57" t="s">
        <v>489</v>
      </c>
      <c r="H57" t="s">
        <v>490</v>
      </c>
      <c r="I57" t="s">
        <v>490</v>
      </c>
      <c r="J57" t="s">
        <v>489</v>
      </c>
      <c r="K57" t="s">
        <v>490</v>
      </c>
      <c r="L57" t="s">
        <v>489</v>
      </c>
      <c r="M57" t="s">
        <v>490</v>
      </c>
      <c r="N57" t="s">
        <v>490</v>
      </c>
      <c r="O57" t="s">
        <v>490</v>
      </c>
      <c r="P57" t="s">
        <v>489</v>
      </c>
      <c r="Q57" t="s">
        <v>490</v>
      </c>
      <c r="R57" t="s">
        <v>490</v>
      </c>
      <c r="S57" t="s">
        <v>489</v>
      </c>
      <c r="T57" t="s">
        <v>490</v>
      </c>
      <c r="U57" t="s">
        <v>490</v>
      </c>
      <c r="V57" t="s">
        <v>489</v>
      </c>
      <c r="W57" t="s">
        <v>490</v>
      </c>
      <c r="X57" t="s">
        <v>490</v>
      </c>
      <c r="Y57" t="s">
        <v>489</v>
      </c>
    </row>
    <row r="58" spans="1:25">
      <c r="A58" t="s">
        <v>973</v>
      </c>
      <c r="B58" t="s">
        <v>490</v>
      </c>
      <c r="C58" t="s">
        <v>489</v>
      </c>
      <c r="D58" t="s">
        <v>490</v>
      </c>
      <c r="E58" t="s">
        <v>490</v>
      </c>
      <c r="F58" t="s">
        <v>490</v>
      </c>
      <c r="G58" t="s">
        <v>489</v>
      </c>
      <c r="H58" t="s">
        <v>490</v>
      </c>
      <c r="I58" t="s">
        <v>490</v>
      </c>
      <c r="J58" t="s">
        <v>489</v>
      </c>
      <c r="K58" t="s">
        <v>490</v>
      </c>
      <c r="L58" t="s">
        <v>489</v>
      </c>
      <c r="M58" t="s">
        <v>490</v>
      </c>
      <c r="N58" t="s">
        <v>490</v>
      </c>
      <c r="O58" t="s">
        <v>490</v>
      </c>
      <c r="P58" t="s">
        <v>489</v>
      </c>
      <c r="Q58" t="s">
        <v>490</v>
      </c>
      <c r="R58" t="s">
        <v>490</v>
      </c>
      <c r="S58" t="s">
        <v>489</v>
      </c>
      <c r="T58" t="s">
        <v>490</v>
      </c>
      <c r="U58" t="s">
        <v>490</v>
      </c>
      <c r="V58" t="s">
        <v>489</v>
      </c>
      <c r="W58" t="s">
        <v>490</v>
      </c>
      <c r="X58" t="s">
        <v>490</v>
      </c>
      <c r="Y58" t="s">
        <v>489</v>
      </c>
    </row>
    <row r="59" spans="1:25">
      <c r="A59" t="s">
        <v>974</v>
      </c>
      <c r="B59" t="s">
        <v>490</v>
      </c>
      <c r="C59" t="s">
        <v>490</v>
      </c>
      <c r="D59" t="s">
        <v>489</v>
      </c>
      <c r="E59" t="s">
        <v>490</v>
      </c>
      <c r="F59" t="s">
        <v>490</v>
      </c>
      <c r="G59" t="s">
        <v>489</v>
      </c>
      <c r="H59" t="s">
        <v>490</v>
      </c>
      <c r="I59" t="s">
        <v>490</v>
      </c>
      <c r="J59" t="s">
        <v>489</v>
      </c>
      <c r="K59" t="s">
        <v>490</v>
      </c>
      <c r="L59" t="s">
        <v>489</v>
      </c>
      <c r="M59" t="s">
        <v>490</v>
      </c>
      <c r="N59" t="s">
        <v>490</v>
      </c>
      <c r="O59" t="s">
        <v>490</v>
      </c>
      <c r="P59" t="s">
        <v>489</v>
      </c>
      <c r="Q59" t="s">
        <v>490</v>
      </c>
      <c r="R59" t="s">
        <v>490</v>
      </c>
      <c r="S59" t="s">
        <v>489</v>
      </c>
      <c r="T59" t="s">
        <v>490</v>
      </c>
      <c r="U59" t="s">
        <v>490</v>
      </c>
      <c r="V59" t="s">
        <v>489</v>
      </c>
      <c r="W59" t="s">
        <v>490</v>
      </c>
      <c r="X59" t="s">
        <v>490</v>
      </c>
      <c r="Y59" t="s">
        <v>489</v>
      </c>
    </row>
    <row r="60" spans="1:25">
      <c r="A60" t="s">
        <v>972</v>
      </c>
      <c r="B60" t="s">
        <v>490</v>
      </c>
      <c r="C60" t="s">
        <v>489</v>
      </c>
      <c r="D60" t="s">
        <v>490</v>
      </c>
      <c r="E60" t="s">
        <v>490</v>
      </c>
      <c r="F60" t="s">
        <v>490</v>
      </c>
      <c r="G60" t="s">
        <v>489</v>
      </c>
      <c r="H60" t="s">
        <v>490</v>
      </c>
      <c r="I60" t="s">
        <v>489</v>
      </c>
      <c r="J60" t="s">
        <v>490</v>
      </c>
      <c r="K60" t="s">
        <v>490</v>
      </c>
      <c r="L60" t="s">
        <v>490</v>
      </c>
      <c r="M60" t="s">
        <v>489</v>
      </c>
      <c r="N60" t="s">
        <v>490</v>
      </c>
      <c r="O60" t="s">
        <v>490</v>
      </c>
      <c r="P60" t="s">
        <v>489</v>
      </c>
      <c r="Q60" t="s">
        <v>490</v>
      </c>
      <c r="R60" t="s">
        <v>490</v>
      </c>
      <c r="S60" t="s">
        <v>489</v>
      </c>
      <c r="T60" t="s">
        <v>490</v>
      </c>
      <c r="U60" t="s">
        <v>490</v>
      </c>
      <c r="V60" t="s">
        <v>489</v>
      </c>
      <c r="W60" t="s">
        <v>490</v>
      </c>
      <c r="X60" t="s">
        <v>490</v>
      </c>
      <c r="Y60" t="s">
        <v>489</v>
      </c>
    </row>
    <row r="61" spans="1:25">
      <c r="A61" t="s">
        <v>972</v>
      </c>
      <c r="B61" t="s">
        <v>490</v>
      </c>
      <c r="C61" t="s">
        <v>489</v>
      </c>
      <c r="D61" t="s">
        <v>490</v>
      </c>
      <c r="E61" t="s">
        <v>490</v>
      </c>
      <c r="F61" t="s">
        <v>489</v>
      </c>
      <c r="G61" t="s">
        <v>490</v>
      </c>
      <c r="H61" t="s">
        <v>490</v>
      </c>
      <c r="I61" t="s">
        <v>490</v>
      </c>
      <c r="J61" t="s">
        <v>489</v>
      </c>
      <c r="K61" t="s">
        <v>490</v>
      </c>
      <c r="L61" t="s">
        <v>490</v>
      </c>
      <c r="M61" t="s">
        <v>489</v>
      </c>
      <c r="N61" t="s">
        <v>490</v>
      </c>
      <c r="O61" t="s">
        <v>490</v>
      </c>
      <c r="P61" t="s">
        <v>489</v>
      </c>
      <c r="Q61" t="s">
        <v>490</v>
      </c>
      <c r="R61" t="s">
        <v>490</v>
      </c>
      <c r="S61" t="s">
        <v>489</v>
      </c>
      <c r="T61" t="s">
        <v>490</v>
      </c>
      <c r="U61" t="s">
        <v>490</v>
      </c>
      <c r="V61" t="s">
        <v>489</v>
      </c>
      <c r="W61" t="s">
        <v>490</v>
      </c>
      <c r="X61" t="s">
        <v>490</v>
      </c>
      <c r="Y61" t="s">
        <v>489</v>
      </c>
    </row>
    <row r="62" spans="1:25">
      <c r="A62" t="s">
        <v>972</v>
      </c>
      <c r="B62" t="s">
        <v>490</v>
      </c>
      <c r="C62" t="s">
        <v>489</v>
      </c>
      <c r="D62" t="s">
        <v>490</v>
      </c>
      <c r="E62" t="s">
        <v>490</v>
      </c>
      <c r="F62" t="s">
        <v>490</v>
      </c>
      <c r="G62" t="s">
        <v>489</v>
      </c>
      <c r="H62" t="s">
        <v>490</v>
      </c>
      <c r="I62" t="s">
        <v>490</v>
      </c>
      <c r="J62" t="s">
        <v>489</v>
      </c>
      <c r="K62" t="s">
        <v>490</v>
      </c>
      <c r="L62" t="s">
        <v>490</v>
      </c>
      <c r="M62" t="s">
        <v>489</v>
      </c>
      <c r="N62" t="s">
        <v>490</v>
      </c>
      <c r="O62" t="s">
        <v>490</v>
      </c>
      <c r="P62" t="s">
        <v>489</v>
      </c>
      <c r="Q62" t="s">
        <v>490</v>
      </c>
      <c r="R62" t="s">
        <v>490</v>
      </c>
      <c r="S62" t="s">
        <v>489</v>
      </c>
      <c r="T62" t="s">
        <v>490</v>
      </c>
      <c r="U62" t="s">
        <v>490</v>
      </c>
      <c r="V62" t="s">
        <v>489</v>
      </c>
      <c r="W62" t="s">
        <v>490</v>
      </c>
      <c r="X62" t="s">
        <v>490</v>
      </c>
      <c r="Y62" t="s">
        <v>489</v>
      </c>
    </row>
    <row r="63" spans="1:25">
      <c r="A63" t="s">
        <v>972</v>
      </c>
      <c r="B63" t="s">
        <v>490</v>
      </c>
      <c r="C63" t="s">
        <v>489</v>
      </c>
      <c r="D63" t="s">
        <v>490</v>
      </c>
      <c r="E63" t="s">
        <v>490</v>
      </c>
      <c r="F63" t="s">
        <v>490</v>
      </c>
      <c r="G63" t="s">
        <v>489</v>
      </c>
      <c r="H63" t="s">
        <v>490</v>
      </c>
      <c r="I63" t="s">
        <v>490</v>
      </c>
      <c r="J63" t="s">
        <v>489</v>
      </c>
      <c r="K63" t="s">
        <v>490</v>
      </c>
      <c r="L63" t="s">
        <v>490</v>
      </c>
      <c r="M63" t="s">
        <v>489</v>
      </c>
      <c r="N63" t="s">
        <v>490</v>
      </c>
      <c r="O63" t="s">
        <v>490</v>
      </c>
      <c r="P63" t="s">
        <v>489</v>
      </c>
      <c r="Q63" t="s">
        <v>490</v>
      </c>
      <c r="R63" t="s">
        <v>490</v>
      </c>
      <c r="S63" t="s">
        <v>489</v>
      </c>
      <c r="T63" t="s">
        <v>490</v>
      </c>
      <c r="U63" t="s">
        <v>490</v>
      </c>
      <c r="V63" t="s">
        <v>489</v>
      </c>
      <c r="W63" t="s">
        <v>490</v>
      </c>
      <c r="X63" t="s">
        <v>490</v>
      </c>
      <c r="Y63" t="s">
        <v>489</v>
      </c>
    </row>
    <row r="64" spans="1:25">
      <c r="A64" t="s">
        <v>974</v>
      </c>
      <c r="B64" t="s">
        <v>490</v>
      </c>
      <c r="C64" t="s">
        <v>489</v>
      </c>
      <c r="D64" t="s">
        <v>490</v>
      </c>
      <c r="E64" t="s">
        <v>490</v>
      </c>
      <c r="F64" t="s">
        <v>490</v>
      </c>
      <c r="G64" t="s">
        <v>489</v>
      </c>
      <c r="H64" t="s">
        <v>490</v>
      </c>
      <c r="I64" t="s">
        <v>490</v>
      </c>
      <c r="J64" t="s">
        <v>489</v>
      </c>
      <c r="K64" t="s">
        <v>490</v>
      </c>
      <c r="L64" t="s">
        <v>490</v>
      </c>
      <c r="M64" t="s">
        <v>489</v>
      </c>
      <c r="N64" t="s">
        <v>490</v>
      </c>
      <c r="O64" t="s">
        <v>490</v>
      </c>
      <c r="P64" t="s">
        <v>489</v>
      </c>
      <c r="Q64" t="s">
        <v>490</v>
      </c>
      <c r="R64" t="s">
        <v>490</v>
      </c>
      <c r="S64" t="s">
        <v>489</v>
      </c>
      <c r="T64" t="s">
        <v>490</v>
      </c>
      <c r="U64" t="s">
        <v>490</v>
      </c>
      <c r="V64" t="s">
        <v>489</v>
      </c>
      <c r="W64" t="s">
        <v>490</v>
      </c>
      <c r="X64" t="s">
        <v>490</v>
      </c>
      <c r="Y64" t="s">
        <v>489</v>
      </c>
    </row>
    <row r="65" spans="1:27">
      <c r="A65" t="s">
        <v>974</v>
      </c>
      <c r="B65" t="s">
        <v>490</v>
      </c>
      <c r="C65" t="s">
        <v>489</v>
      </c>
      <c r="D65" t="s">
        <v>490</v>
      </c>
      <c r="E65" t="s">
        <v>490</v>
      </c>
      <c r="F65" t="s">
        <v>490</v>
      </c>
      <c r="G65" t="s">
        <v>489</v>
      </c>
      <c r="H65" t="s">
        <v>490</v>
      </c>
      <c r="I65" t="s">
        <v>490</v>
      </c>
      <c r="J65" t="s">
        <v>489</v>
      </c>
      <c r="K65" t="s">
        <v>490</v>
      </c>
      <c r="L65" t="s">
        <v>490</v>
      </c>
      <c r="M65" t="s">
        <v>489</v>
      </c>
      <c r="N65" t="s">
        <v>490</v>
      </c>
      <c r="O65" t="s">
        <v>490</v>
      </c>
      <c r="P65" t="s">
        <v>489</v>
      </c>
      <c r="Q65" t="s">
        <v>490</v>
      </c>
      <c r="R65" t="s">
        <v>490</v>
      </c>
      <c r="S65" t="s">
        <v>489</v>
      </c>
      <c r="T65" t="s">
        <v>490</v>
      </c>
      <c r="U65" t="s">
        <v>490</v>
      </c>
      <c r="V65" t="s">
        <v>489</v>
      </c>
      <c r="W65" t="s">
        <v>490</v>
      </c>
      <c r="X65" t="s">
        <v>490</v>
      </c>
      <c r="Y65" t="s">
        <v>489</v>
      </c>
    </row>
    <row r="66" spans="1:27">
      <c r="A66" t="s">
        <v>974</v>
      </c>
      <c r="B66" t="s">
        <v>490</v>
      </c>
      <c r="C66" t="s">
        <v>489</v>
      </c>
      <c r="D66" t="s">
        <v>490</v>
      </c>
      <c r="E66" t="s">
        <v>490</v>
      </c>
      <c r="F66" t="s">
        <v>490</v>
      </c>
      <c r="G66" t="s">
        <v>489</v>
      </c>
      <c r="H66" t="s">
        <v>490</v>
      </c>
      <c r="I66" t="s">
        <v>490</v>
      </c>
      <c r="J66" t="s">
        <v>489</v>
      </c>
      <c r="K66" t="s">
        <v>490</v>
      </c>
      <c r="L66" t="s">
        <v>490</v>
      </c>
      <c r="M66" t="s">
        <v>489</v>
      </c>
      <c r="N66" t="s">
        <v>490</v>
      </c>
      <c r="O66" t="s">
        <v>490</v>
      </c>
      <c r="P66" t="s">
        <v>489</v>
      </c>
      <c r="Q66" t="s">
        <v>490</v>
      </c>
      <c r="R66" t="s">
        <v>490</v>
      </c>
      <c r="S66" t="s">
        <v>489</v>
      </c>
      <c r="T66" t="s">
        <v>490</v>
      </c>
      <c r="U66" t="s">
        <v>490</v>
      </c>
      <c r="V66" t="s">
        <v>489</v>
      </c>
      <c r="W66" t="s">
        <v>490</v>
      </c>
      <c r="X66" t="s">
        <v>490</v>
      </c>
      <c r="Y66" t="s">
        <v>489</v>
      </c>
    </row>
    <row r="67" spans="1:27">
      <c r="A67" t="s">
        <v>974</v>
      </c>
      <c r="B67" t="s">
        <v>490</v>
      </c>
      <c r="C67" t="s">
        <v>489</v>
      </c>
      <c r="D67" t="s">
        <v>490</v>
      </c>
      <c r="E67" t="s">
        <v>490</v>
      </c>
      <c r="F67" t="s">
        <v>490</v>
      </c>
      <c r="G67" t="s">
        <v>489</v>
      </c>
      <c r="H67" t="s">
        <v>490</v>
      </c>
      <c r="I67" t="s">
        <v>490</v>
      </c>
      <c r="J67" t="s">
        <v>489</v>
      </c>
      <c r="K67" t="s">
        <v>490</v>
      </c>
      <c r="L67" t="s">
        <v>490</v>
      </c>
      <c r="M67" t="s">
        <v>489</v>
      </c>
      <c r="N67" t="s">
        <v>490</v>
      </c>
      <c r="O67" t="s">
        <v>490</v>
      </c>
      <c r="P67" t="s">
        <v>489</v>
      </c>
      <c r="Q67" t="s">
        <v>490</v>
      </c>
      <c r="R67" t="s">
        <v>490</v>
      </c>
      <c r="S67" t="s">
        <v>489</v>
      </c>
      <c r="T67" t="s">
        <v>490</v>
      </c>
      <c r="U67" t="s">
        <v>490</v>
      </c>
      <c r="V67" t="s">
        <v>489</v>
      </c>
      <c r="W67" t="s">
        <v>490</v>
      </c>
      <c r="X67" t="s">
        <v>490</v>
      </c>
      <c r="Y67" t="s">
        <v>489</v>
      </c>
    </row>
    <row r="68" spans="1:27">
      <c r="A68" t="s">
        <v>972</v>
      </c>
      <c r="B68" t="s">
        <v>490</v>
      </c>
      <c r="C68" t="s">
        <v>489</v>
      </c>
      <c r="D68" t="s">
        <v>490</v>
      </c>
      <c r="E68" t="s">
        <v>490</v>
      </c>
      <c r="F68" t="s">
        <v>490</v>
      </c>
      <c r="G68" t="s">
        <v>489</v>
      </c>
      <c r="H68" t="s">
        <v>490</v>
      </c>
      <c r="I68" t="s">
        <v>490</v>
      </c>
      <c r="J68" t="s">
        <v>489</v>
      </c>
      <c r="K68" t="s">
        <v>490</v>
      </c>
      <c r="L68" t="s">
        <v>490</v>
      </c>
      <c r="M68" t="s">
        <v>489</v>
      </c>
      <c r="N68" t="s">
        <v>490</v>
      </c>
      <c r="O68" t="s">
        <v>490</v>
      </c>
      <c r="P68" t="s">
        <v>489</v>
      </c>
      <c r="Q68" t="s">
        <v>490</v>
      </c>
      <c r="R68" t="s">
        <v>490</v>
      </c>
      <c r="S68" t="s">
        <v>489</v>
      </c>
      <c r="T68" t="s">
        <v>490</v>
      </c>
      <c r="U68" t="s">
        <v>490</v>
      </c>
      <c r="V68" t="s">
        <v>489</v>
      </c>
      <c r="W68" t="s">
        <v>490</v>
      </c>
      <c r="X68" t="s">
        <v>490</v>
      </c>
      <c r="Y68" t="s">
        <v>489</v>
      </c>
    </row>
    <row r="69" spans="1:27">
      <c r="A69" t="s">
        <v>972</v>
      </c>
      <c r="B69" t="s">
        <v>490</v>
      </c>
      <c r="C69" t="s">
        <v>489</v>
      </c>
      <c r="D69" t="s">
        <v>490</v>
      </c>
      <c r="E69" t="s">
        <v>490</v>
      </c>
      <c r="F69" t="s">
        <v>490</v>
      </c>
      <c r="G69" t="s">
        <v>489</v>
      </c>
      <c r="H69" t="s">
        <v>490</v>
      </c>
      <c r="I69" t="s">
        <v>490</v>
      </c>
      <c r="J69" t="s">
        <v>489</v>
      </c>
      <c r="K69" t="s">
        <v>490</v>
      </c>
      <c r="L69" t="s">
        <v>490</v>
      </c>
      <c r="M69" t="s">
        <v>489</v>
      </c>
      <c r="N69" t="s">
        <v>490</v>
      </c>
      <c r="O69" t="s">
        <v>490</v>
      </c>
      <c r="P69" t="s">
        <v>489</v>
      </c>
      <c r="Q69" t="s">
        <v>490</v>
      </c>
      <c r="R69" t="s">
        <v>490</v>
      </c>
      <c r="S69" t="s">
        <v>489</v>
      </c>
      <c r="T69" t="s">
        <v>490</v>
      </c>
      <c r="U69" t="s">
        <v>490</v>
      </c>
      <c r="V69" t="s">
        <v>489</v>
      </c>
      <c r="W69" t="s">
        <v>490</v>
      </c>
      <c r="X69" t="s">
        <v>490</v>
      </c>
      <c r="Y69" t="s">
        <v>489</v>
      </c>
    </row>
    <row r="70" spans="1:27">
      <c r="A70" t="s">
        <v>972</v>
      </c>
      <c r="B70" t="s">
        <v>490</v>
      </c>
      <c r="C70" t="s">
        <v>489</v>
      </c>
      <c r="D70" t="s">
        <v>490</v>
      </c>
      <c r="E70" t="s">
        <v>490</v>
      </c>
      <c r="F70" t="s">
        <v>490</v>
      </c>
      <c r="G70" t="s">
        <v>489</v>
      </c>
      <c r="H70" t="s">
        <v>490</v>
      </c>
      <c r="I70" t="s">
        <v>490</v>
      </c>
      <c r="J70" t="s">
        <v>489</v>
      </c>
      <c r="K70" t="s">
        <v>490</v>
      </c>
      <c r="L70" t="s">
        <v>490</v>
      </c>
      <c r="M70" t="s">
        <v>489</v>
      </c>
      <c r="N70" t="s">
        <v>490</v>
      </c>
      <c r="O70" t="s">
        <v>490</v>
      </c>
      <c r="P70" t="s">
        <v>489</v>
      </c>
      <c r="Q70" t="s">
        <v>490</v>
      </c>
      <c r="R70" t="s">
        <v>490</v>
      </c>
      <c r="S70" t="s">
        <v>489</v>
      </c>
      <c r="T70" t="s">
        <v>490</v>
      </c>
      <c r="U70" t="s">
        <v>490</v>
      </c>
      <c r="V70" t="s">
        <v>489</v>
      </c>
      <c r="W70" t="s">
        <v>490</v>
      </c>
      <c r="X70" t="s">
        <v>490</v>
      </c>
      <c r="Y70" t="s">
        <v>489</v>
      </c>
    </row>
    <row r="71" spans="1:27">
      <c r="A71" t="s">
        <v>972</v>
      </c>
      <c r="B71" t="s">
        <v>490</v>
      </c>
      <c r="C71" t="s">
        <v>490</v>
      </c>
      <c r="D71" t="s">
        <v>489</v>
      </c>
      <c r="E71" t="s">
        <v>490</v>
      </c>
      <c r="F71" t="s">
        <v>490</v>
      </c>
      <c r="G71" t="s">
        <v>489</v>
      </c>
      <c r="H71" t="s">
        <v>490</v>
      </c>
      <c r="I71" t="s">
        <v>490</v>
      </c>
      <c r="J71" t="s">
        <v>489</v>
      </c>
      <c r="K71" t="s">
        <v>490</v>
      </c>
      <c r="L71" t="s">
        <v>490</v>
      </c>
      <c r="M71" t="s">
        <v>489</v>
      </c>
      <c r="N71" t="s">
        <v>490</v>
      </c>
      <c r="O71" t="s">
        <v>490</v>
      </c>
      <c r="P71" t="s">
        <v>489</v>
      </c>
      <c r="Q71" t="s">
        <v>490</v>
      </c>
      <c r="R71" t="s">
        <v>490</v>
      </c>
      <c r="S71" t="s">
        <v>489</v>
      </c>
      <c r="T71" t="s">
        <v>490</v>
      </c>
      <c r="U71" t="s">
        <v>490</v>
      </c>
      <c r="V71" t="s">
        <v>489</v>
      </c>
      <c r="W71" t="s">
        <v>490</v>
      </c>
      <c r="X71" t="s">
        <v>490</v>
      </c>
      <c r="Y71" t="s">
        <v>489</v>
      </c>
    </row>
    <row r="74" spans="1:27">
      <c r="B74" t="s">
        <v>703</v>
      </c>
      <c r="C74" t="s">
        <v>665</v>
      </c>
      <c r="D74" t="s">
        <v>666</v>
      </c>
      <c r="E74" t="s">
        <v>704</v>
      </c>
      <c r="F74" t="s">
        <v>665</v>
      </c>
      <c r="G74" t="s">
        <v>666</v>
      </c>
      <c r="H74" t="s">
        <v>705</v>
      </c>
      <c r="I74" t="s">
        <v>665</v>
      </c>
      <c r="J74" t="s">
        <v>666</v>
      </c>
      <c r="K74" t="s">
        <v>706</v>
      </c>
      <c r="L74" t="s">
        <v>665</v>
      </c>
      <c r="M74" t="s">
        <v>666</v>
      </c>
      <c r="N74" t="s">
        <v>707</v>
      </c>
      <c r="O74" t="s">
        <v>665</v>
      </c>
      <c r="P74" t="s">
        <v>666</v>
      </c>
      <c r="Q74" t="s">
        <v>708</v>
      </c>
      <c r="R74" t="s">
        <v>665</v>
      </c>
      <c r="S74" t="s">
        <v>666</v>
      </c>
      <c r="T74" t="s">
        <v>709</v>
      </c>
      <c r="U74" t="s">
        <v>665</v>
      </c>
      <c r="V74" t="s">
        <v>666</v>
      </c>
      <c r="W74" t="s">
        <v>710</v>
      </c>
      <c r="X74" t="s">
        <v>665</v>
      </c>
      <c r="Y74" t="s">
        <v>666</v>
      </c>
    </row>
    <row r="75" spans="1:27">
      <c r="A75" t="s">
        <v>489</v>
      </c>
      <c r="B75" s="38" t="s">
        <v>1293</v>
      </c>
      <c r="C75" s="25">
        <f>59/139</f>
        <v>0.42446043165467628</v>
      </c>
      <c r="D75" s="38" t="s">
        <v>1293</v>
      </c>
      <c r="E75" s="38" t="s">
        <v>1293</v>
      </c>
      <c r="F75" s="25">
        <f>11/139</f>
        <v>7.9136690647482008E-2</v>
      </c>
      <c r="G75" s="38" t="s">
        <v>1293</v>
      </c>
      <c r="H75" s="38" t="s">
        <v>1293</v>
      </c>
      <c r="I75" s="25">
        <f>8/139</f>
        <v>5.7553956834532377E-2</v>
      </c>
      <c r="J75" s="38" t="s">
        <v>1293</v>
      </c>
      <c r="K75" s="38" t="s">
        <v>1293</v>
      </c>
      <c r="L75" s="25">
        <f>29/139</f>
        <v>0.20863309352517986</v>
      </c>
      <c r="M75" s="38" t="s">
        <v>1293</v>
      </c>
      <c r="N75" s="38" t="s">
        <v>1293</v>
      </c>
      <c r="O75" s="25">
        <f>4/139</f>
        <v>2.8776978417266189E-2</v>
      </c>
      <c r="P75" s="38" t="s">
        <v>1293</v>
      </c>
      <c r="Q75" s="38" t="s">
        <v>1293</v>
      </c>
      <c r="R75" s="25">
        <f>21/139</f>
        <v>0.15107913669064749</v>
      </c>
      <c r="S75" s="38" t="s">
        <v>1293</v>
      </c>
      <c r="T75" s="38" t="s">
        <v>1293</v>
      </c>
      <c r="U75" s="25">
        <f>45/139</f>
        <v>0.32374100719424459</v>
      </c>
      <c r="V75" s="38" t="s">
        <v>1293</v>
      </c>
      <c r="W75" s="38" t="s">
        <v>1293</v>
      </c>
      <c r="X75" s="25">
        <f>17/139</f>
        <v>0.1223021582733813</v>
      </c>
      <c r="Y75" s="38" t="s">
        <v>1293</v>
      </c>
      <c r="Z75" s="25"/>
      <c r="AA75" s="25"/>
    </row>
    <row r="78" spans="1:27">
      <c r="A78" t="s">
        <v>1216</v>
      </c>
    </row>
    <row r="79" spans="1:27">
      <c r="B79" t="s">
        <v>1313</v>
      </c>
    </row>
    <row r="80" spans="1:27">
      <c r="A80" t="s">
        <v>1344</v>
      </c>
      <c r="B80" s="15">
        <v>3</v>
      </c>
    </row>
    <row r="81" spans="1:3">
      <c r="A81" t="s">
        <v>1342</v>
      </c>
      <c r="B81" s="15">
        <v>6</v>
      </c>
    </row>
    <row r="82" spans="1:3">
      <c r="A82" t="s">
        <v>1341</v>
      </c>
      <c r="B82" s="15">
        <v>8</v>
      </c>
    </row>
    <row r="83" spans="1:3">
      <c r="A83" t="s">
        <v>1347</v>
      </c>
      <c r="B83" s="15">
        <v>12</v>
      </c>
    </row>
    <row r="84" spans="1:3">
      <c r="A84" t="s">
        <v>1345</v>
      </c>
      <c r="B84" s="15">
        <v>15</v>
      </c>
    </row>
    <row r="85" spans="1:3">
      <c r="A85" t="s">
        <v>1343</v>
      </c>
      <c r="B85" s="15">
        <v>21</v>
      </c>
    </row>
    <row r="86" spans="1:3">
      <c r="A86" t="s">
        <v>1346</v>
      </c>
      <c r="B86" s="15">
        <v>32</v>
      </c>
    </row>
    <row r="87" spans="1:3">
      <c r="A87" t="s">
        <v>1348</v>
      </c>
      <c r="B87" s="65">
        <v>42</v>
      </c>
    </row>
    <row r="88" spans="1:3">
      <c r="B88" s="15"/>
      <c r="C88" s="15"/>
    </row>
    <row r="89" spans="1:3">
      <c r="B89" s="15"/>
      <c r="C89" s="15"/>
    </row>
  </sheetData>
  <sortState ref="A6:Y71">
    <sortCondition ref="X6:X71"/>
  </sortState>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H50"/>
  <sheetViews>
    <sheetView workbookViewId="0"/>
  </sheetViews>
  <sheetFormatPr defaultRowHeight="14.4"/>
  <cols>
    <col min="1" max="1" width="63.33203125" customWidth="1"/>
    <col min="2" max="2" width="8.33203125" customWidth="1"/>
    <col min="3" max="3" width="4.109375" style="2" customWidth="1"/>
    <col min="4" max="4" width="49.6640625" customWidth="1"/>
    <col min="5" max="5" width="8.5546875" customWidth="1"/>
    <col min="6" max="6" width="11.5546875" customWidth="1"/>
    <col min="7" max="7" width="31.6640625" customWidth="1"/>
    <col min="9" max="9" width="6.44140625" customWidth="1"/>
  </cols>
  <sheetData>
    <row r="1" spans="1:8">
      <c r="A1" s="3" t="s">
        <v>1304</v>
      </c>
      <c r="E1" s="3"/>
    </row>
    <row r="3" spans="1:8">
      <c r="A3" t="s">
        <v>1349</v>
      </c>
      <c r="D3" t="s">
        <v>1350</v>
      </c>
    </row>
    <row r="5" spans="1:8">
      <c r="B5" t="s">
        <v>1314</v>
      </c>
      <c r="E5" t="s">
        <v>1313</v>
      </c>
      <c r="G5" s="1" t="s">
        <v>1351</v>
      </c>
      <c r="H5" t="s">
        <v>1352</v>
      </c>
    </row>
    <row r="6" spans="1:8">
      <c r="A6" t="s">
        <v>1330</v>
      </c>
      <c r="B6" s="15">
        <v>3</v>
      </c>
      <c r="D6" s="22" t="s">
        <v>1330</v>
      </c>
      <c r="E6" s="15">
        <v>1</v>
      </c>
      <c r="G6" t="s">
        <v>1299</v>
      </c>
      <c r="H6" s="67">
        <f>11/63</f>
        <v>0.17460317460317459</v>
      </c>
    </row>
    <row r="7" spans="1:8">
      <c r="A7" t="s">
        <v>1332</v>
      </c>
      <c r="B7" s="15">
        <v>5</v>
      </c>
      <c r="D7" s="22" t="s">
        <v>1332</v>
      </c>
      <c r="E7" s="15">
        <v>2</v>
      </c>
      <c r="G7" t="s">
        <v>1298</v>
      </c>
      <c r="H7" s="67">
        <f>9/48</f>
        <v>0.1875</v>
      </c>
    </row>
    <row r="8" spans="1:8">
      <c r="A8" t="s">
        <v>1327</v>
      </c>
      <c r="B8" s="15">
        <v>9</v>
      </c>
      <c r="D8" s="22" t="s">
        <v>1336</v>
      </c>
      <c r="E8" s="15">
        <v>2</v>
      </c>
      <c r="G8" t="s">
        <v>1295</v>
      </c>
      <c r="H8" s="67">
        <f>17/77</f>
        <v>0.22077922077922077</v>
      </c>
    </row>
    <row r="9" spans="1:8">
      <c r="A9" t="s">
        <v>1326</v>
      </c>
      <c r="B9" s="15">
        <v>10</v>
      </c>
      <c r="D9" s="22" t="s">
        <v>1331</v>
      </c>
      <c r="E9" s="15">
        <v>3</v>
      </c>
      <c r="G9" t="s">
        <v>1329</v>
      </c>
      <c r="H9" s="67">
        <f>4/18</f>
        <v>0.22222222222222221</v>
      </c>
    </row>
    <row r="10" spans="1:8">
      <c r="A10" t="s">
        <v>1331</v>
      </c>
      <c r="B10" s="15">
        <v>12</v>
      </c>
      <c r="D10" s="22" t="s">
        <v>1344</v>
      </c>
      <c r="E10" s="15">
        <v>3</v>
      </c>
      <c r="G10" t="s">
        <v>1331</v>
      </c>
      <c r="H10" s="67">
        <f>3/12</f>
        <v>0.25</v>
      </c>
    </row>
    <row r="11" spans="1:8">
      <c r="A11" t="s">
        <v>1339</v>
      </c>
      <c r="B11" s="15">
        <v>14</v>
      </c>
      <c r="D11" s="22" t="s">
        <v>1327</v>
      </c>
      <c r="E11" s="15">
        <v>4</v>
      </c>
      <c r="G11" t="s">
        <v>1294</v>
      </c>
      <c r="H11" s="67">
        <f>17/68</f>
        <v>0.25</v>
      </c>
    </row>
    <row r="12" spans="1:8">
      <c r="A12" t="s">
        <v>1329</v>
      </c>
      <c r="B12" s="15">
        <v>18</v>
      </c>
      <c r="D12" s="22" t="s">
        <v>1326</v>
      </c>
      <c r="E12" s="15">
        <v>4</v>
      </c>
      <c r="G12" t="s">
        <v>1301</v>
      </c>
      <c r="H12" s="67">
        <f>15/47</f>
        <v>0.31914893617021278</v>
      </c>
    </row>
    <row r="13" spans="1:8">
      <c r="A13" t="s">
        <v>1300</v>
      </c>
      <c r="B13" s="15">
        <v>24</v>
      </c>
      <c r="D13" s="22" t="s">
        <v>1329</v>
      </c>
      <c r="E13" s="15">
        <v>4</v>
      </c>
      <c r="G13" t="s">
        <v>1330</v>
      </c>
      <c r="H13" s="67">
        <f>1/3</f>
        <v>0.33333333333333331</v>
      </c>
    </row>
    <row r="14" spans="1:8">
      <c r="A14" t="s">
        <v>1311</v>
      </c>
      <c r="B14" s="15">
        <v>24</v>
      </c>
      <c r="D14" s="22" t="s">
        <v>1342</v>
      </c>
      <c r="E14" s="15">
        <v>6</v>
      </c>
      <c r="G14" t="s">
        <v>1311</v>
      </c>
      <c r="H14" s="67">
        <f>9/24</f>
        <v>0.375</v>
      </c>
    </row>
    <row r="15" spans="1:8">
      <c r="A15" t="s">
        <v>1320</v>
      </c>
      <c r="B15" s="15">
        <v>27</v>
      </c>
      <c r="D15" s="22" t="s">
        <v>1341</v>
      </c>
      <c r="E15" s="15">
        <v>8</v>
      </c>
      <c r="G15" t="s">
        <v>1323</v>
      </c>
      <c r="H15" s="67">
        <f>18/47</f>
        <v>0.38297872340425532</v>
      </c>
    </row>
    <row r="16" spans="1:8">
      <c r="A16" t="s">
        <v>1334</v>
      </c>
      <c r="B16" s="15">
        <v>30</v>
      </c>
      <c r="D16" s="22" t="s">
        <v>1298</v>
      </c>
      <c r="E16" s="15">
        <v>9</v>
      </c>
      <c r="G16" t="s">
        <v>1332</v>
      </c>
      <c r="H16" s="67">
        <f>2/5</f>
        <v>0.4</v>
      </c>
    </row>
    <row r="17" spans="1:8">
      <c r="A17" t="s">
        <v>1317</v>
      </c>
      <c r="B17" s="15">
        <v>36</v>
      </c>
      <c r="D17" s="22" t="s">
        <v>1311</v>
      </c>
      <c r="E17" s="15">
        <v>9</v>
      </c>
      <c r="G17" t="s">
        <v>1326</v>
      </c>
      <c r="H17" s="67">
        <f>4/10</f>
        <v>0.4</v>
      </c>
    </row>
    <row r="18" spans="1:8">
      <c r="A18" t="s">
        <v>1302</v>
      </c>
      <c r="B18" s="15">
        <v>37</v>
      </c>
      <c r="D18" s="22" t="s">
        <v>1339</v>
      </c>
      <c r="E18" s="15">
        <v>9</v>
      </c>
      <c r="G18" t="s">
        <v>1303</v>
      </c>
      <c r="H18" s="67">
        <f>22/55</f>
        <v>0.4</v>
      </c>
    </row>
    <row r="19" spans="1:8">
      <c r="A19" t="s">
        <v>1335</v>
      </c>
      <c r="B19" s="15">
        <v>38</v>
      </c>
      <c r="D19" s="22" t="s">
        <v>1299</v>
      </c>
      <c r="E19" s="15">
        <v>11</v>
      </c>
      <c r="G19" t="s">
        <v>1322</v>
      </c>
      <c r="H19" s="67">
        <f>17/42</f>
        <v>0.40476190476190477</v>
      </c>
    </row>
    <row r="20" spans="1:8">
      <c r="A20" t="s">
        <v>1312</v>
      </c>
      <c r="B20" s="15">
        <v>40</v>
      </c>
      <c r="D20" s="22" t="s">
        <v>1320</v>
      </c>
      <c r="E20" s="15">
        <v>11</v>
      </c>
      <c r="G20" t="s">
        <v>1320</v>
      </c>
      <c r="H20" s="67">
        <f>11/27</f>
        <v>0.40740740740740738</v>
      </c>
    </row>
    <row r="21" spans="1:8">
      <c r="A21" t="s">
        <v>1324</v>
      </c>
      <c r="B21" s="15">
        <v>41</v>
      </c>
      <c r="D21" s="22" t="s">
        <v>1300</v>
      </c>
      <c r="E21" s="15">
        <v>12</v>
      </c>
      <c r="G21" t="s">
        <v>1327</v>
      </c>
      <c r="H21" s="67">
        <f>4/9</f>
        <v>0.44444444444444442</v>
      </c>
    </row>
    <row r="22" spans="1:8">
      <c r="A22" t="s">
        <v>1322</v>
      </c>
      <c r="B22" s="15">
        <v>42</v>
      </c>
      <c r="D22" s="22" t="s">
        <v>1347</v>
      </c>
      <c r="E22" s="15">
        <v>12</v>
      </c>
      <c r="G22" t="s">
        <v>1302</v>
      </c>
      <c r="H22" s="67">
        <f>17/37</f>
        <v>0.45945945945945948</v>
      </c>
    </row>
    <row r="23" spans="1:8">
      <c r="A23" t="s">
        <v>1301</v>
      </c>
      <c r="B23" s="15">
        <v>47</v>
      </c>
      <c r="D23" s="22" t="s">
        <v>1296</v>
      </c>
      <c r="E23" s="15">
        <v>12</v>
      </c>
      <c r="G23" t="s">
        <v>1321</v>
      </c>
      <c r="H23" s="67">
        <f>24/52</f>
        <v>0.46153846153846156</v>
      </c>
    </row>
    <row r="24" spans="1:8">
      <c r="A24" t="s">
        <v>1323</v>
      </c>
      <c r="B24" s="15">
        <v>47</v>
      </c>
      <c r="D24" s="22" t="s">
        <v>1301</v>
      </c>
      <c r="E24" s="15">
        <v>15</v>
      </c>
      <c r="G24" t="s">
        <v>1324</v>
      </c>
      <c r="H24" s="67">
        <f>19/41</f>
        <v>0.46341463414634149</v>
      </c>
    </row>
    <row r="25" spans="1:8">
      <c r="A25" t="s">
        <v>1337</v>
      </c>
      <c r="B25" s="15">
        <v>47</v>
      </c>
      <c r="D25" s="22" t="s">
        <v>1334</v>
      </c>
      <c r="E25" s="15">
        <v>15</v>
      </c>
      <c r="G25" t="s">
        <v>1300</v>
      </c>
      <c r="H25" s="67">
        <f>12/24</f>
        <v>0.5</v>
      </c>
    </row>
    <row r="26" spans="1:8">
      <c r="A26" t="s">
        <v>1338</v>
      </c>
      <c r="B26" s="15">
        <v>47</v>
      </c>
      <c r="D26" s="22" t="s">
        <v>1345</v>
      </c>
      <c r="E26" s="15">
        <v>15</v>
      </c>
      <c r="G26" t="s">
        <v>1334</v>
      </c>
      <c r="H26" s="67">
        <f>15/30</f>
        <v>0.5</v>
      </c>
    </row>
    <row r="27" spans="1:8">
      <c r="A27" t="s">
        <v>1297</v>
      </c>
      <c r="B27" s="15">
        <v>48</v>
      </c>
      <c r="D27" s="22" t="s">
        <v>1302</v>
      </c>
      <c r="E27" s="15">
        <v>17</v>
      </c>
      <c r="G27" t="s">
        <v>1297</v>
      </c>
      <c r="H27" s="67">
        <f>24/48</f>
        <v>0.5</v>
      </c>
    </row>
    <row r="28" spans="1:8">
      <c r="A28" t="s">
        <v>1298</v>
      </c>
      <c r="B28" s="15">
        <v>48</v>
      </c>
      <c r="D28" s="22" t="s">
        <v>1294</v>
      </c>
      <c r="E28" s="15">
        <v>17</v>
      </c>
      <c r="G28" t="s">
        <v>1310</v>
      </c>
      <c r="H28" s="67">
        <f>29/56</f>
        <v>0.5178571428571429</v>
      </c>
    </row>
    <row r="29" spans="1:8">
      <c r="A29" t="s">
        <v>1321</v>
      </c>
      <c r="B29" s="15">
        <v>52</v>
      </c>
      <c r="D29" s="22" t="s">
        <v>1295</v>
      </c>
      <c r="E29" s="15">
        <v>17</v>
      </c>
      <c r="G29" t="s">
        <v>1308</v>
      </c>
      <c r="H29" s="67">
        <f>34/64</f>
        <v>0.53125</v>
      </c>
    </row>
    <row r="30" spans="1:8">
      <c r="A30" t="s">
        <v>1303</v>
      </c>
      <c r="B30" s="15">
        <v>55</v>
      </c>
      <c r="D30" s="22" t="s">
        <v>1322</v>
      </c>
      <c r="E30" s="15">
        <v>17</v>
      </c>
      <c r="G30" t="s">
        <v>1312</v>
      </c>
      <c r="H30" s="67">
        <f>22/40</f>
        <v>0.55000000000000004</v>
      </c>
    </row>
    <row r="31" spans="1:8">
      <c r="A31" t="s">
        <v>1310</v>
      </c>
      <c r="B31" s="15">
        <v>56</v>
      </c>
      <c r="D31" s="22" t="s">
        <v>1323</v>
      </c>
      <c r="E31" s="15">
        <v>18</v>
      </c>
      <c r="G31" t="s">
        <v>1306</v>
      </c>
      <c r="H31" s="67">
        <f>44/76</f>
        <v>0.57894736842105265</v>
      </c>
    </row>
    <row r="32" spans="1:8">
      <c r="A32" t="s">
        <v>1299</v>
      </c>
      <c r="B32" s="15">
        <v>63</v>
      </c>
      <c r="D32" s="22" t="s">
        <v>1324</v>
      </c>
      <c r="E32" s="15">
        <v>19</v>
      </c>
      <c r="G32" t="s">
        <v>1315</v>
      </c>
      <c r="H32" s="67">
        <f>39/65</f>
        <v>0.6</v>
      </c>
    </row>
    <row r="33" spans="1:8">
      <c r="A33" t="s">
        <v>1318</v>
      </c>
      <c r="B33" s="15">
        <v>63</v>
      </c>
      <c r="D33" s="22" t="s">
        <v>1343</v>
      </c>
      <c r="E33" s="15">
        <v>21</v>
      </c>
      <c r="G33" t="s">
        <v>1318</v>
      </c>
      <c r="H33" s="67">
        <f>39/63</f>
        <v>0.61904761904761907</v>
      </c>
    </row>
    <row r="34" spans="1:8">
      <c r="A34" t="s">
        <v>1308</v>
      </c>
      <c r="B34" s="15">
        <v>64</v>
      </c>
      <c r="D34" s="22" t="s">
        <v>1303</v>
      </c>
      <c r="E34" s="15">
        <v>22</v>
      </c>
      <c r="G34" t="s">
        <v>1307</v>
      </c>
      <c r="H34" s="67">
        <f>44/70</f>
        <v>0.62857142857142856</v>
      </c>
    </row>
    <row r="35" spans="1:8">
      <c r="A35" t="s">
        <v>1315</v>
      </c>
      <c r="B35" s="15">
        <v>65</v>
      </c>
      <c r="D35" s="22" t="s">
        <v>1312</v>
      </c>
      <c r="E35" s="15">
        <v>22</v>
      </c>
      <c r="G35" t="s">
        <v>1339</v>
      </c>
      <c r="H35" s="67">
        <f>9/14</f>
        <v>0.6428571428571429</v>
      </c>
    </row>
    <row r="36" spans="1:8">
      <c r="A36" t="s">
        <v>1294</v>
      </c>
      <c r="B36" s="15">
        <v>68</v>
      </c>
      <c r="D36" s="22" t="s">
        <v>1297</v>
      </c>
      <c r="E36" s="15">
        <v>24</v>
      </c>
      <c r="G36" t="s">
        <v>1335</v>
      </c>
      <c r="H36" s="67">
        <f>25/38</f>
        <v>0.65789473684210531</v>
      </c>
    </row>
    <row r="37" spans="1:8">
      <c r="A37" t="s">
        <v>1307</v>
      </c>
      <c r="B37" s="15">
        <v>70</v>
      </c>
      <c r="D37" s="22" t="s">
        <v>1321</v>
      </c>
      <c r="E37" s="15">
        <v>24</v>
      </c>
      <c r="G37" t="s">
        <v>1317</v>
      </c>
      <c r="H37" s="67">
        <f>26/36</f>
        <v>0.72222222222222221</v>
      </c>
    </row>
    <row r="38" spans="1:8">
      <c r="A38" t="s">
        <v>1306</v>
      </c>
      <c r="B38" s="65">
        <v>76</v>
      </c>
      <c r="D38" s="22" t="s">
        <v>1335</v>
      </c>
      <c r="E38" s="15">
        <v>25</v>
      </c>
      <c r="G38" t="s">
        <v>1309</v>
      </c>
      <c r="H38" s="67">
        <f>65/78</f>
        <v>0.83333333333333337</v>
      </c>
    </row>
    <row r="39" spans="1:8">
      <c r="A39" t="s">
        <v>1295</v>
      </c>
      <c r="B39" s="15">
        <v>77</v>
      </c>
      <c r="D39" s="22" t="s">
        <v>1317</v>
      </c>
      <c r="E39" s="15">
        <v>26</v>
      </c>
      <c r="G39" t="s">
        <v>1337</v>
      </c>
      <c r="H39" s="67">
        <f>40/47</f>
        <v>0.85106382978723405</v>
      </c>
    </row>
    <row r="40" spans="1:8">
      <c r="A40" t="s">
        <v>1309</v>
      </c>
      <c r="B40" s="15">
        <v>78</v>
      </c>
      <c r="D40" s="22" t="s">
        <v>1310</v>
      </c>
      <c r="E40" s="15">
        <v>29</v>
      </c>
      <c r="G40" t="s">
        <v>1338</v>
      </c>
      <c r="H40" s="67">
        <f>40/47</f>
        <v>0.85106382978723405</v>
      </c>
    </row>
    <row r="41" spans="1:8">
      <c r="D41" s="22" t="s">
        <v>1346</v>
      </c>
      <c r="E41" s="15">
        <v>32</v>
      </c>
    </row>
    <row r="42" spans="1:8">
      <c r="D42" s="22" t="s">
        <v>1308</v>
      </c>
      <c r="E42" s="15">
        <v>34</v>
      </c>
    </row>
    <row r="43" spans="1:8">
      <c r="B43" s="65"/>
      <c r="D43" s="22" t="s">
        <v>1315</v>
      </c>
      <c r="E43" s="15">
        <v>39</v>
      </c>
    </row>
    <row r="44" spans="1:8">
      <c r="B44" s="65"/>
      <c r="D44" s="22" t="s">
        <v>1318</v>
      </c>
      <c r="E44" s="15">
        <v>39</v>
      </c>
    </row>
    <row r="45" spans="1:8">
      <c r="B45" s="65"/>
      <c r="D45" s="22" t="s">
        <v>1337</v>
      </c>
      <c r="E45" s="15">
        <v>40</v>
      </c>
    </row>
    <row r="46" spans="1:8">
      <c r="B46" s="65"/>
      <c r="D46" s="22" t="s">
        <v>1338</v>
      </c>
      <c r="E46" s="15">
        <v>40</v>
      </c>
    </row>
    <row r="47" spans="1:8">
      <c r="B47" s="65"/>
      <c r="D47" s="22" t="s">
        <v>1348</v>
      </c>
      <c r="E47" s="65">
        <v>42</v>
      </c>
    </row>
    <row r="48" spans="1:8">
      <c r="B48" s="65"/>
      <c r="D48" s="22" t="s">
        <v>1307</v>
      </c>
      <c r="E48" s="15">
        <v>44</v>
      </c>
    </row>
    <row r="49" spans="2:5">
      <c r="B49" s="65"/>
      <c r="D49" s="22" t="s">
        <v>1306</v>
      </c>
      <c r="E49" s="15">
        <v>44</v>
      </c>
    </row>
    <row r="50" spans="2:5">
      <c r="B50" s="65"/>
      <c r="D50" s="22" t="s">
        <v>1309</v>
      </c>
      <c r="E50" s="15">
        <v>65</v>
      </c>
    </row>
  </sheetData>
  <sortState ref="G6:H40">
    <sortCondition ref="H6:H40"/>
  </sortState>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E141"/>
  <sheetViews>
    <sheetView workbookViewId="0"/>
  </sheetViews>
  <sheetFormatPr defaultRowHeight="14.4"/>
  <cols>
    <col min="1" max="1" width="16.109375" customWidth="1"/>
    <col min="4" max="4" width="16.109375" customWidth="1"/>
  </cols>
  <sheetData>
    <row r="1" spans="1:5">
      <c r="A1" s="3" t="s">
        <v>1412</v>
      </c>
    </row>
    <row r="3" spans="1:5">
      <c r="A3" t="s">
        <v>974</v>
      </c>
      <c r="B3">
        <v>2</v>
      </c>
      <c r="D3" t="s">
        <v>1071</v>
      </c>
      <c r="E3" t="s">
        <v>1072</v>
      </c>
    </row>
    <row r="4" spans="1:5">
      <c r="A4" t="s">
        <v>974</v>
      </c>
      <c r="B4">
        <v>3</v>
      </c>
    </row>
    <row r="5" spans="1:5">
      <c r="A5" t="s">
        <v>974</v>
      </c>
      <c r="B5">
        <v>15</v>
      </c>
      <c r="D5" t="s">
        <v>1073</v>
      </c>
      <c r="E5">
        <v>70</v>
      </c>
    </row>
    <row r="6" spans="1:5">
      <c r="A6" t="s">
        <v>974</v>
      </c>
      <c r="B6">
        <v>15</v>
      </c>
      <c r="D6" t="s">
        <v>1068</v>
      </c>
      <c r="E6">
        <v>76</v>
      </c>
    </row>
    <row r="7" spans="1:5">
      <c r="A7" t="s">
        <v>974</v>
      </c>
      <c r="B7">
        <v>20</v>
      </c>
      <c r="D7" t="s">
        <v>1075</v>
      </c>
      <c r="E7">
        <v>77</v>
      </c>
    </row>
    <row r="8" spans="1:5">
      <c r="A8" t="s">
        <v>974</v>
      </c>
      <c r="B8">
        <v>25</v>
      </c>
      <c r="D8" t="s">
        <v>1076</v>
      </c>
      <c r="E8">
        <v>88</v>
      </c>
    </row>
    <row r="9" spans="1:5">
      <c r="A9" t="s">
        <v>974</v>
      </c>
      <c r="B9">
        <v>50</v>
      </c>
      <c r="D9" t="s">
        <v>1074</v>
      </c>
      <c r="E9">
        <v>75</v>
      </c>
    </row>
    <row r="10" spans="1:5">
      <c r="A10" t="s">
        <v>974</v>
      </c>
      <c r="B10">
        <v>60</v>
      </c>
    </row>
    <row r="11" spans="1:5">
      <c r="A11" t="s">
        <v>974</v>
      </c>
      <c r="B11">
        <v>65</v>
      </c>
    </row>
    <row r="12" spans="1:5">
      <c r="A12" t="s">
        <v>974</v>
      </c>
      <c r="B12">
        <v>70</v>
      </c>
    </row>
    <row r="13" spans="1:5">
      <c r="A13" t="s">
        <v>974</v>
      </c>
      <c r="B13">
        <v>70</v>
      </c>
    </row>
    <row r="14" spans="1:5">
      <c r="A14" t="s">
        <v>974</v>
      </c>
      <c r="B14">
        <v>75</v>
      </c>
    </row>
    <row r="15" spans="1:5">
      <c r="A15" t="s">
        <v>974</v>
      </c>
      <c r="B15">
        <v>75</v>
      </c>
    </row>
    <row r="16" spans="1:5">
      <c r="A16" t="s">
        <v>974</v>
      </c>
      <c r="B16">
        <v>75</v>
      </c>
    </row>
    <row r="17" spans="1:2">
      <c r="A17" t="s">
        <v>974</v>
      </c>
      <c r="B17">
        <v>80</v>
      </c>
    </row>
    <row r="18" spans="1:2">
      <c r="A18" t="s">
        <v>974</v>
      </c>
      <c r="B18">
        <v>80</v>
      </c>
    </row>
    <row r="19" spans="1:2">
      <c r="A19" t="s">
        <v>974</v>
      </c>
      <c r="B19">
        <v>80</v>
      </c>
    </row>
    <row r="20" spans="1:2">
      <c r="A20" t="s">
        <v>974</v>
      </c>
      <c r="B20">
        <v>80</v>
      </c>
    </row>
    <row r="21" spans="1:2">
      <c r="A21" t="s">
        <v>974</v>
      </c>
      <c r="B21">
        <v>80</v>
      </c>
    </row>
    <row r="22" spans="1:2">
      <c r="A22" t="s">
        <v>974</v>
      </c>
      <c r="B22">
        <v>80</v>
      </c>
    </row>
    <row r="23" spans="1:2">
      <c r="A23" t="s">
        <v>974</v>
      </c>
      <c r="B23">
        <v>80</v>
      </c>
    </row>
    <row r="24" spans="1:2">
      <c r="A24" t="s">
        <v>974</v>
      </c>
      <c r="B24">
        <v>90</v>
      </c>
    </row>
    <row r="25" spans="1:2">
      <c r="A25" t="s">
        <v>974</v>
      </c>
      <c r="B25">
        <v>90</v>
      </c>
    </row>
    <row r="26" spans="1:2">
      <c r="A26" t="s">
        <v>974</v>
      </c>
      <c r="B26">
        <v>90</v>
      </c>
    </row>
    <row r="27" spans="1:2">
      <c r="A27" t="s">
        <v>974</v>
      </c>
      <c r="B27">
        <v>90</v>
      </c>
    </row>
    <row r="28" spans="1:2">
      <c r="A28" t="s">
        <v>974</v>
      </c>
      <c r="B28">
        <v>90</v>
      </c>
    </row>
    <row r="29" spans="1:2">
      <c r="A29" t="s">
        <v>974</v>
      </c>
      <c r="B29">
        <v>90</v>
      </c>
    </row>
    <row r="30" spans="1:2">
      <c r="A30" t="s">
        <v>974</v>
      </c>
      <c r="B30">
        <v>90</v>
      </c>
    </row>
    <row r="31" spans="1:2">
      <c r="A31" t="s">
        <v>974</v>
      </c>
      <c r="B31">
        <v>95</v>
      </c>
    </row>
    <row r="32" spans="1:2">
      <c r="A32" t="s">
        <v>974</v>
      </c>
      <c r="B32">
        <v>95</v>
      </c>
    </row>
    <row r="33" spans="1:3">
      <c r="A33" t="s">
        <v>974</v>
      </c>
      <c r="B33">
        <v>95</v>
      </c>
    </row>
    <row r="34" spans="1:3">
      <c r="A34" t="s">
        <v>974</v>
      </c>
      <c r="B34">
        <v>95</v>
      </c>
    </row>
    <row r="35" spans="1:3">
      <c r="A35" t="s">
        <v>974</v>
      </c>
      <c r="B35">
        <v>98</v>
      </c>
    </row>
    <row r="36" spans="1:3">
      <c r="A36" t="s">
        <v>974</v>
      </c>
      <c r="B36">
        <v>99</v>
      </c>
    </row>
    <row r="37" spans="1:3">
      <c r="C37" s="15">
        <f>(SUM(B3:B36)/34)</f>
        <v>70.205882352941174</v>
      </c>
    </row>
    <row r="39" spans="1:3">
      <c r="A39" t="s">
        <v>973</v>
      </c>
      <c r="B39">
        <v>30</v>
      </c>
    </row>
    <row r="40" spans="1:3">
      <c r="A40" t="s">
        <v>973</v>
      </c>
      <c r="B40">
        <v>40</v>
      </c>
    </row>
    <row r="41" spans="1:3">
      <c r="A41" t="s">
        <v>973</v>
      </c>
      <c r="B41">
        <v>75</v>
      </c>
    </row>
    <row r="42" spans="1:3">
      <c r="A42" t="s">
        <v>973</v>
      </c>
      <c r="B42">
        <v>75</v>
      </c>
    </row>
    <row r="43" spans="1:3">
      <c r="A43" t="s">
        <v>973</v>
      </c>
      <c r="B43">
        <v>90</v>
      </c>
    </row>
    <row r="44" spans="1:3">
      <c r="A44" t="s">
        <v>973</v>
      </c>
      <c r="B44">
        <v>98</v>
      </c>
    </row>
    <row r="45" spans="1:3">
      <c r="A45" t="s">
        <v>973</v>
      </c>
      <c r="B45">
        <v>99</v>
      </c>
    </row>
    <row r="46" spans="1:3">
      <c r="A46" t="s">
        <v>973</v>
      </c>
      <c r="B46">
        <v>99</v>
      </c>
    </row>
    <row r="47" spans="1:3">
      <c r="C47" s="15">
        <f>(SUM(B39:B46)/8)</f>
        <v>75.75</v>
      </c>
    </row>
    <row r="49" spans="1:2">
      <c r="A49" t="s">
        <v>972</v>
      </c>
      <c r="B49">
        <v>5</v>
      </c>
    </row>
    <row r="50" spans="1:2">
      <c r="A50" t="s">
        <v>972</v>
      </c>
      <c r="B50">
        <v>10</v>
      </c>
    </row>
    <row r="51" spans="1:2">
      <c r="A51" t="s">
        <v>972</v>
      </c>
      <c r="B51">
        <v>10</v>
      </c>
    </row>
    <row r="52" spans="1:2">
      <c r="A52" t="s">
        <v>972</v>
      </c>
      <c r="B52">
        <v>15</v>
      </c>
    </row>
    <row r="53" spans="1:2">
      <c r="A53" t="s">
        <v>972</v>
      </c>
      <c r="B53">
        <v>25</v>
      </c>
    </row>
    <row r="54" spans="1:2">
      <c r="A54" t="s">
        <v>972</v>
      </c>
      <c r="B54">
        <v>30</v>
      </c>
    </row>
    <row r="55" spans="1:2">
      <c r="A55" t="s">
        <v>972</v>
      </c>
      <c r="B55">
        <v>35</v>
      </c>
    </row>
    <row r="56" spans="1:2">
      <c r="A56" t="s">
        <v>972</v>
      </c>
      <c r="B56">
        <v>40</v>
      </c>
    </row>
    <row r="57" spans="1:2">
      <c r="A57" t="s">
        <v>972</v>
      </c>
      <c r="B57">
        <v>40</v>
      </c>
    </row>
    <row r="58" spans="1:2">
      <c r="A58" t="s">
        <v>972</v>
      </c>
      <c r="B58">
        <v>40</v>
      </c>
    </row>
    <row r="59" spans="1:2">
      <c r="A59" t="s">
        <v>972</v>
      </c>
      <c r="B59">
        <v>40</v>
      </c>
    </row>
    <row r="60" spans="1:2">
      <c r="A60" t="s">
        <v>972</v>
      </c>
      <c r="B60">
        <v>40</v>
      </c>
    </row>
    <row r="61" spans="1:2">
      <c r="A61" t="s">
        <v>972</v>
      </c>
      <c r="B61">
        <v>50</v>
      </c>
    </row>
    <row r="62" spans="1:2">
      <c r="A62" t="s">
        <v>972</v>
      </c>
      <c r="B62">
        <v>50</v>
      </c>
    </row>
    <row r="63" spans="1:2">
      <c r="A63" t="s">
        <v>972</v>
      </c>
      <c r="B63">
        <v>60</v>
      </c>
    </row>
    <row r="64" spans="1:2">
      <c r="A64" t="s">
        <v>972</v>
      </c>
      <c r="B64">
        <v>60</v>
      </c>
    </row>
    <row r="65" spans="1:2">
      <c r="A65" t="s">
        <v>972</v>
      </c>
      <c r="B65">
        <v>60</v>
      </c>
    </row>
    <row r="66" spans="1:2">
      <c r="A66" t="s">
        <v>972</v>
      </c>
      <c r="B66">
        <v>60</v>
      </c>
    </row>
    <row r="67" spans="1:2">
      <c r="A67" t="s">
        <v>972</v>
      </c>
      <c r="B67">
        <v>60</v>
      </c>
    </row>
    <row r="68" spans="1:2">
      <c r="A68" t="s">
        <v>972</v>
      </c>
      <c r="B68">
        <v>60</v>
      </c>
    </row>
    <row r="69" spans="1:2">
      <c r="A69" t="s">
        <v>972</v>
      </c>
      <c r="B69">
        <v>60</v>
      </c>
    </row>
    <row r="70" spans="1:2">
      <c r="A70" t="s">
        <v>972</v>
      </c>
      <c r="B70">
        <v>65</v>
      </c>
    </row>
    <row r="71" spans="1:2">
      <c r="A71" t="s">
        <v>972</v>
      </c>
      <c r="B71">
        <v>65</v>
      </c>
    </row>
    <row r="72" spans="1:2">
      <c r="A72" t="s">
        <v>972</v>
      </c>
      <c r="B72">
        <v>70</v>
      </c>
    </row>
    <row r="73" spans="1:2">
      <c r="A73" t="s">
        <v>972</v>
      </c>
      <c r="B73">
        <v>70</v>
      </c>
    </row>
    <row r="74" spans="1:2">
      <c r="A74" t="s">
        <v>972</v>
      </c>
      <c r="B74">
        <v>70</v>
      </c>
    </row>
    <row r="75" spans="1:2">
      <c r="A75" t="s">
        <v>972</v>
      </c>
      <c r="B75">
        <v>75</v>
      </c>
    </row>
    <row r="76" spans="1:2">
      <c r="A76" t="s">
        <v>972</v>
      </c>
      <c r="B76">
        <v>75</v>
      </c>
    </row>
    <row r="77" spans="1:2">
      <c r="A77" t="s">
        <v>972</v>
      </c>
      <c r="B77">
        <v>75</v>
      </c>
    </row>
    <row r="78" spans="1:2">
      <c r="A78" t="s">
        <v>972</v>
      </c>
      <c r="B78">
        <v>80</v>
      </c>
    </row>
    <row r="79" spans="1:2">
      <c r="A79" t="s">
        <v>972</v>
      </c>
      <c r="B79">
        <v>80</v>
      </c>
    </row>
    <row r="80" spans="1:2">
      <c r="A80" t="s">
        <v>972</v>
      </c>
      <c r="B80">
        <v>80</v>
      </c>
    </row>
    <row r="81" spans="1:2">
      <c r="A81" t="s">
        <v>972</v>
      </c>
      <c r="B81">
        <v>80</v>
      </c>
    </row>
    <row r="82" spans="1:2">
      <c r="A82" t="s">
        <v>972</v>
      </c>
      <c r="B82">
        <v>80</v>
      </c>
    </row>
    <row r="83" spans="1:2">
      <c r="A83" t="s">
        <v>972</v>
      </c>
      <c r="B83">
        <v>80</v>
      </c>
    </row>
    <row r="84" spans="1:2">
      <c r="A84" t="s">
        <v>972</v>
      </c>
      <c r="B84">
        <v>80</v>
      </c>
    </row>
    <row r="85" spans="1:2">
      <c r="A85" t="s">
        <v>972</v>
      </c>
      <c r="B85">
        <v>80</v>
      </c>
    </row>
    <row r="86" spans="1:2">
      <c r="A86" t="s">
        <v>972</v>
      </c>
      <c r="B86">
        <v>80</v>
      </c>
    </row>
    <row r="87" spans="1:2">
      <c r="A87" t="s">
        <v>972</v>
      </c>
      <c r="B87">
        <v>80</v>
      </c>
    </row>
    <row r="88" spans="1:2">
      <c r="A88" t="s">
        <v>972</v>
      </c>
      <c r="B88">
        <v>85</v>
      </c>
    </row>
    <row r="89" spans="1:2">
      <c r="A89" t="s">
        <v>972</v>
      </c>
      <c r="B89">
        <v>88</v>
      </c>
    </row>
    <row r="90" spans="1:2">
      <c r="A90" t="s">
        <v>972</v>
      </c>
      <c r="B90">
        <v>89</v>
      </c>
    </row>
    <row r="91" spans="1:2">
      <c r="A91" t="s">
        <v>972</v>
      </c>
      <c r="B91">
        <v>90</v>
      </c>
    </row>
    <row r="92" spans="1:2">
      <c r="A92" t="s">
        <v>972</v>
      </c>
      <c r="B92">
        <v>90</v>
      </c>
    </row>
    <row r="93" spans="1:2">
      <c r="A93" t="s">
        <v>972</v>
      </c>
      <c r="B93">
        <v>90</v>
      </c>
    </row>
    <row r="94" spans="1:2">
      <c r="A94" t="s">
        <v>972</v>
      </c>
      <c r="B94">
        <v>90</v>
      </c>
    </row>
    <row r="95" spans="1:2">
      <c r="A95" t="s">
        <v>972</v>
      </c>
      <c r="B95">
        <v>90</v>
      </c>
    </row>
    <row r="96" spans="1:2">
      <c r="A96" t="s">
        <v>972</v>
      </c>
      <c r="B96">
        <v>90</v>
      </c>
    </row>
    <row r="97" spans="1:2">
      <c r="A97" t="s">
        <v>972</v>
      </c>
      <c r="B97">
        <v>90</v>
      </c>
    </row>
    <row r="98" spans="1:2">
      <c r="A98" t="s">
        <v>972</v>
      </c>
      <c r="B98">
        <v>90</v>
      </c>
    </row>
    <row r="99" spans="1:2">
      <c r="A99" t="s">
        <v>972</v>
      </c>
      <c r="B99">
        <v>90</v>
      </c>
    </row>
    <row r="100" spans="1:2">
      <c r="A100" t="s">
        <v>972</v>
      </c>
      <c r="B100">
        <v>90</v>
      </c>
    </row>
    <row r="101" spans="1:2">
      <c r="A101" t="s">
        <v>972</v>
      </c>
      <c r="B101">
        <v>90</v>
      </c>
    </row>
    <row r="102" spans="1:2">
      <c r="A102" t="s">
        <v>972</v>
      </c>
      <c r="B102">
        <v>90</v>
      </c>
    </row>
    <row r="103" spans="1:2">
      <c r="A103" t="s">
        <v>972</v>
      </c>
      <c r="B103">
        <v>90</v>
      </c>
    </row>
    <row r="104" spans="1:2">
      <c r="A104" t="s">
        <v>972</v>
      </c>
      <c r="B104">
        <v>95</v>
      </c>
    </row>
    <row r="105" spans="1:2">
      <c r="A105" t="s">
        <v>972</v>
      </c>
      <c r="B105">
        <v>95</v>
      </c>
    </row>
    <row r="106" spans="1:2">
      <c r="A106" t="s">
        <v>972</v>
      </c>
      <c r="B106">
        <v>95</v>
      </c>
    </row>
    <row r="107" spans="1:2">
      <c r="A107" t="s">
        <v>972</v>
      </c>
      <c r="B107">
        <v>95</v>
      </c>
    </row>
    <row r="108" spans="1:2">
      <c r="A108" t="s">
        <v>972</v>
      </c>
      <c r="B108">
        <v>95</v>
      </c>
    </row>
    <row r="109" spans="1:2">
      <c r="A109" t="s">
        <v>972</v>
      </c>
      <c r="B109">
        <v>95</v>
      </c>
    </row>
    <row r="110" spans="1:2">
      <c r="A110" t="s">
        <v>972</v>
      </c>
      <c r="B110">
        <v>95</v>
      </c>
    </row>
    <row r="111" spans="1:2">
      <c r="A111" t="s">
        <v>972</v>
      </c>
      <c r="B111">
        <v>95</v>
      </c>
    </row>
    <row r="112" spans="1:2">
      <c r="A112" t="s">
        <v>972</v>
      </c>
      <c r="B112">
        <v>95</v>
      </c>
    </row>
    <row r="113" spans="1:2">
      <c r="A113" t="s">
        <v>972</v>
      </c>
      <c r="B113">
        <v>95</v>
      </c>
    </row>
    <row r="114" spans="1:2">
      <c r="A114" t="s">
        <v>972</v>
      </c>
      <c r="B114">
        <v>95</v>
      </c>
    </row>
    <row r="115" spans="1:2">
      <c r="A115" t="s">
        <v>972</v>
      </c>
      <c r="B115">
        <v>95</v>
      </c>
    </row>
    <row r="116" spans="1:2">
      <c r="A116" t="s">
        <v>972</v>
      </c>
      <c r="B116">
        <v>98</v>
      </c>
    </row>
    <row r="117" spans="1:2">
      <c r="A117" t="s">
        <v>972</v>
      </c>
      <c r="B117">
        <v>98</v>
      </c>
    </row>
    <row r="118" spans="1:2">
      <c r="A118" t="s">
        <v>972</v>
      </c>
      <c r="B118">
        <v>98</v>
      </c>
    </row>
    <row r="119" spans="1:2">
      <c r="A119" t="s">
        <v>972</v>
      </c>
      <c r="B119">
        <v>98</v>
      </c>
    </row>
    <row r="120" spans="1:2">
      <c r="A120" t="s">
        <v>972</v>
      </c>
      <c r="B120">
        <v>99</v>
      </c>
    </row>
    <row r="121" spans="1:2">
      <c r="A121" t="s">
        <v>972</v>
      </c>
      <c r="B121">
        <v>99</v>
      </c>
    </row>
    <row r="122" spans="1:2">
      <c r="A122" t="s">
        <v>972</v>
      </c>
      <c r="B122">
        <v>99</v>
      </c>
    </row>
    <row r="123" spans="1:2">
      <c r="A123" t="s">
        <v>972</v>
      </c>
      <c r="B123">
        <v>100</v>
      </c>
    </row>
    <row r="124" spans="1:2">
      <c r="A124" t="s">
        <v>972</v>
      </c>
      <c r="B124">
        <v>100</v>
      </c>
    </row>
    <row r="125" spans="1:2">
      <c r="A125" t="s">
        <v>972</v>
      </c>
      <c r="B125">
        <v>100</v>
      </c>
    </row>
    <row r="126" spans="1:2">
      <c r="A126" t="s">
        <v>972</v>
      </c>
      <c r="B126">
        <v>100</v>
      </c>
    </row>
    <row r="127" spans="1:2">
      <c r="A127" t="s">
        <v>972</v>
      </c>
      <c r="B127">
        <v>100</v>
      </c>
    </row>
    <row r="128" spans="1:2">
      <c r="A128" t="s">
        <v>972</v>
      </c>
      <c r="B128">
        <v>100</v>
      </c>
    </row>
    <row r="129" spans="1:3">
      <c r="A129" t="s">
        <v>972</v>
      </c>
      <c r="B129">
        <v>100</v>
      </c>
    </row>
    <row r="130" spans="1:3">
      <c r="A130" t="s">
        <v>972</v>
      </c>
      <c r="B130">
        <v>100</v>
      </c>
    </row>
    <row r="131" spans="1:3">
      <c r="A131" t="s">
        <v>972</v>
      </c>
      <c r="B131">
        <v>100</v>
      </c>
    </row>
    <row r="132" spans="1:3">
      <c r="C132" s="15">
        <f>(SUM(B49:B131)/83)</f>
        <v>76.819277108433738</v>
      </c>
    </row>
    <row r="134" spans="1:3">
      <c r="A134" t="s">
        <v>954</v>
      </c>
      <c r="B134">
        <v>70</v>
      </c>
    </row>
    <row r="135" spans="1:3">
      <c r="A135" t="s">
        <v>954</v>
      </c>
      <c r="B135">
        <v>80</v>
      </c>
    </row>
    <row r="136" spans="1:3">
      <c r="A136" t="s">
        <v>954</v>
      </c>
      <c r="B136">
        <v>90</v>
      </c>
    </row>
    <row r="137" spans="1:3">
      <c r="A137" t="s">
        <v>954</v>
      </c>
      <c r="B137">
        <v>98</v>
      </c>
    </row>
    <row r="138" spans="1:3">
      <c r="A138" t="s">
        <v>954</v>
      </c>
      <c r="B138">
        <v>100</v>
      </c>
    </row>
    <row r="139" spans="1:3">
      <c r="C139" s="15">
        <f>(SUM(B134:B138)/5)</f>
        <v>87.6</v>
      </c>
    </row>
    <row r="140" spans="1:3">
      <c r="C140" s="15"/>
    </row>
    <row r="141" spans="1:3">
      <c r="A141" s="3" t="s">
        <v>978</v>
      </c>
      <c r="B141" s="39">
        <f>(SUM(B3:B139))/130</f>
        <v>75.438461538461539</v>
      </c>
    </row>
  </sheetData>
  <sortState ref="A3:B132">
    <sortCondition ref="A3:A132"/>
  </sortState>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W140"/>
  <sheetViews>
    <sheetView workbookViewId="0"/>
  </sheetViews>
  <sheetFormatPr defaultRowHeight="14.4"/>
  <cols>
    <col min="1" max="1" width="12.33203125" customWidth="1"/>
    <col min="4" max="4" width="19.5546875" customWidth="1"/>
    <col min="6" max="6" width="11.6640625" customWidth="1"/>
    <col min="15" max="15" width="11.88671875" customWidth="1"/>
    <col min="17" max="17" width="2.88671875" customWidth="1"/>
    <col min="18" max="18" width="12.33203125" customWidth="1"/>
    <col min="19" max="19" width="12.88671875" customWidth="1"/>
    <col min="20" max="20" width="3.5546875" customWidth="1"/>
    <col min="21" max="21" width="14.6640625" customWidth="1"/>
    <col min="22" max="22" width="18.6640625" customWidth="1"/>
  </cols>
  <sheetData>
    <row r="1" spans="1:23">
      <c r="A1" s="3" t="s">
        <v>1413</v>
      </c>
    </row>
    <row r="2" spans="1:23" ht="15" thickBot="1"/>
    <row r="3" spans="1:23" ht="23.4" thickBot="1">
      <c r="A3" t="s">
        <v>974</v>
      </c>
      <c r="B3">
        <v>0</v>
      </c>
      <c r="D3" t="s">
        <v>1077</v>
      </c>
      <c r="E3" t="s">
        <v>1078</v>
      </c>
      <c r="H3" t="s">
        <v>1081</v>
      </c>
      <c r="O3" t="s">
        <v>972</v>
      </c>
      <c r="P3">
        <v>0</v>
      </c>
      <c r="R3" s="47" t="s">
        <v>1217</v>
      </c>
      <c r="S3" s="48" t="s">
        <v>1218</v>
      </c>
      <c r="T3" s="49"/>
      <c r="U3" s="48" t="s">
        <v>1238</v>
      </c>
      <c r="V3" s="48" t="s">
        <v>1237</v>
      </c>
      <c r="W3" s="57"/>
    </row>
    <row r="4" spans="1:23" ht="15" thickBot="1">
      <c r="A4" t="s">
        <v>974</v>
      </c>
      <c r="B4">
        <v>1</v>
      </c>
      <c r="O4" t="s">
        <v>972</v>
      </c>
      <c r="P4">
        <v>0</v>
      </c>
      <c r="R4" s="50">
        <v>0</v>
      </c>
      <c r="S4" s="51">
        <v>9</v>
      </c>
      <c r="T4" s="52"/>
      <c r="U4" s="58">
        <v>0</v>
      </c>
      <c r="V4" s="51" t="s">
        <v>1229</v>
      </c>
      <c r="W4" s="59">
        <f>9/129</f>
        <v>6.9767441860465115E-2</v>
      </c>
    </row>
    <row r="5" spans="1:23" ht="15" thickBot="1">
      <c r="A5" t="s">
        <v>974</v>
      </c>
      <c r="B5">
        <v>1</v>
      </c>
      <c r="D5" t="s">
        <v>1073</v>
      </c>
      <c r="E5">
        <v>8</v>
      </c>
      <c r="O5" t="s">
        <v>972</v>
      </c>
      <c r="P5">
        <v>0</v>
      </c>
      <c r="R5" s="50">
        <v>0.01</v>
      </c>
      <c r="S5" s="51">
        <v>6</v>
      </c>
      <c r="T5" s="52"/>
      <c r="U5" s="51" t="s">
        <v>1219</v>
      </c>
      <c r="V5" s="51" t="s">
        <v>1228</v>
      </c>
      <c r="W5" s="59">
        <f>39/129</f>
        <v>0.30232558139534882</v>
      </c>
    </row>
    <row r="6" spans="1:23" ht="15" thickBot="1">
      <c r="A6" t="s">
        <v>974</v>
      </c>
      <c r="B6">
        <v>1</v>
      </c>
      <c r="D6" t="s">
        <v>1068</v>
      </c>
      <c r="E6">
        <v>18</v>
      </c>
      <c r="O6" t="s">
        <v>972</v>
      </c>
      <c r="P6">
        <v>0</v>
      </c>
      <c r="R6" s="50">
        <v>0.02</v>
      </c>
      <c r="S6" s="51">
        <v>9</v>
      </c>
      <c r="T6" s="52"/>
      <c r="U6" s="51"/>
      <c r="V6" s="51"/>
      <c r="W6" s="59"/>
    </row>
    <row r="7" spans="1:23" ht="15" thickBot="1">
      <c r="A7" t="s">
        <v>974</v>
      </c>
      <c r="B7">
        <v>1</v>
      </c>
      <c r="D7" t="s">
        <v>1079</v>
      </c>
      <c r="E7">
        <v>36</v>
      </c>
      <c r="O7" t="s">
        <v>972</v>
      </c>
      <c r="P7">
        <v>0</v>
      </c>
      <c r="R7" s="50">
        <v>0.03</v>
      </c>
      <c r="S7" s="51">
        <v>2</v>
      </c>
      <c r="T7" s="52"/>
      <c r="U7" s="51"/>
      <c r="V7" s="51"/>
      <c r="W7" s="59"/>
    </row>
    <row r="8" spans="1:23" ht="15" thickBot="1">
      <c r="A8" t="s">
        <v>974</v>
      </c>
      <c r="B8">
        <v>1</v>
      </c>
      <c r="D8" t="s">
        <v>1076</v>
      </c>
      <c r="E8">
        <v>45</v>
      </c>
      <c r="O8" t="s">
        <v>974</v>
      </c>
      <c r="P8">
        <v>0</v>
      </c>
      <c r="R8" s="50">
        <v>0.04</v>
      </c>
      <c r="S8" s="51">
        <v>1</v>
      </c>
      <c r="T8" s="52"/>
      <c r="U8" s="51"/>
      <c r="V8" s="51"/>
      <c r="W8" s="59"/>
    </row>
    <row r="9" spans="1:23" ht="15" thickBot="1">
      <c r="A9" t="s">
        <v>974</v>
      </c>
      <c r="B9">
        <v>2</v>
      </c>
      <c r="D9" t="s">
        <v>1080</v>
      </c>
      <c r="E9">
        <v>28</v>
      </c>
      <c r="O9" t="s">
        <v>972</v>
      </c>
      <c r="P9">
        <v>0</v>
      </c>
      <c r="R9" s="50">
        <v>0.05</v>
      </c>
      <c r="S9" s="51">
        <v>21</v>
      </c>
      <c r="T9" s="52"/>
      <c r="U9" s="51"/>
      <c r="V9" s="51"/>
      <c r="W9" s="59"/>
    </row>
    <row r="10" spans="1:23" ht="15" thickBot="1">
      <c r="A10" t="s">
        <v>974</v>
      </c>
      <c r="B10">
        <v>2</v>
      </c>
      <c r="D10" t="s">
        <v>1396</v>
      </c>
      <c r="E10">
        <v>10</v>
      </c>
      <c r="O10" t="s">
        <v>972</v>
      </c>
      <c r="P10">
        <v>0</v>
      </c>
      <c r="R10" s="50">
        <v>7.0000000000000007E-2</v>
      </c>
      <c r="S10" s="51">
        <v>1</v>
      </c>
      <c r="T10" s="52"/>
      <c r="U10" s="51" t="s">
        <v>1220</v>
      </c>
      <c r="V10" s="51" t="s">
        <v>1227</v>
      </c>
      <c r="W10" s="59">
        <f>30/129</f>
        <v>0.23255813953488372</v>
      </c>
    </row>
    <row r="11" spans="1:23" ht="15" thickBot="1">
      <c r="A11" t="s">
        <v>974</v>
      </c>
      <c r="B11">
        <v>2</v>
      </c>
      <c r="O11" t="s">
        <v>972</v>
      </c>
      <c r="P11">
        <v>0</v>
      </c>
      <c r="R11" s="50">
        <v>0.08</v>
      </c>
      <c r="S11" s="51">
        <v>6</v>
      </c>
      <c r="T11" s="52"/>
      <c r="U11" s="51"/>
      <c r="V11" s="51"/>
      <c r="W11" s="59"/>
    </row>
    <row r="12" spans="1:23" ht="15" thickBot="1">
      <c r="A12" t="s">
        <v>974</v>
      </c>
      <c r="B12">
        <v>2</v>
      </c>
      <c r="O12" t="s">
        <v>972</v>
      </c>
      <c r="P12">
        <v>1</v>
      </c>
      <c r="R12" s="50">
        <v>0.1</v>
      </c>
      <c r="S12" s="51">
        <v>10</v>
      </c>
      <c r="T12" s="52"/>
      <c r="U12" s="51"/>
      <c r="V12" s="51"/>
      <c r="W12" s="59"/>
    </row>
    <row r="13" spans="1:23" ht="15" thickBot="1">
      <c r="A13" t="s">
        <v>974</v>
      </c>
      <c r="B13">
        <v>2</v>
      </c>
      <c r="O13" t="s">
        <v>974</v>
      </c>
      <c r="P13">
        <v>1</v>
      </c>
      <c r="R13" s="50">
        <v>0.15</v>
      </c>
      <c r="S13" s="51">
        <v>5</v>
      </c>
      <c r="T13" s="52"/>
      <c r="U13" s="51"/>
      <c r="V13" s="51"/>
      <c r="W13" s="59"/>
    </row>
    <row r="14" spans="1:23" ht="15" thickBot="1">
      <c r="A14" t="s">
        <v>974</v>
      </c>
      <c r="B14">
        <v>3</v>
      </c>
      <c r="O14" t="s">
        <v>974</v>
      </c>
      <c r="P14">
        <v>1</v>
      </c>
      <c r="R14" s="50">
        <v>0.2</v>
      </c>
      <c r="S14" s="51">
        <v>6</v>
      </c>
      <c r="T14" s="52"/>
      <c r="U14" s="51"/>
      <c r="V14" s="51"/>
      <c r="W14" s="59"/>
    </row>
    <row r="15" spans="1:23" ht="15" thickBot="1">
      <c r="A15" t="s">
        <v>974</v>
      </c>
      <c r="B15">
        <v>4</v>
      </c>
      <c r="O15" t="s">
        <v>974</v>
      </c>
      <c r="P15">
        <v>1</v>
      </c>
      <c r="R15" s="50">
        <v>0.25</v>
      </c>
      <c r="S15" s="51">
        <v>2</v>
      </c>
      <c r="T15" s="52"/>
      <c r="U15" s="51"/>
      <c r="V15" s="51"/>
      <c r="W15" s="59"/>
    </row>
    <row r="16" spans="1:23" ht="15" thickBot="1">
      <c r="A16" t="s">
        <v>974</v>
      </c>
      <c r="B16">
        <v>5</v>
      </c>
      <c r="O16" t="s">
        <v>974</v>
      </c>
      <c r="P16">
        <v>1</v>
      </c>
      <c r="R16" s="50">
        <v>0.3</v>
      </c>
      <c r="S16" s="51">
        <v>4</v>
      </c>
      <c r="T16" s="52"/>
      <c r="U16" s="51" t="s">
        <v>1221</v>
      </c>
      <c r="V16" s="51" t="s">
        <v>1170</v>
      </c>
      <c r="W16" s="59">
        <f>23/129</f>
        <v>0.17829457364341086</v>
      </c>
    </row>
    <row r="17" spans="1:23" ht="15" thickBot="1">
      <c r="A17" t="s">
        <v>974</v>
      </c>
      <c r="B17">
        <v>5</v>
      </c>
      <c r="O17" t="s">
        <v>974</v>
      </c>
      <c r="P17">
        <v>1</v>
      </c>
      <c r="R17" s="50">
        <v>0.35</v>
      </c>
      <c r="S17" s="51">
        <v>5</v>
      </c>
      <c r="T17" s="52"/>
      <c r="U17" s="51"/>
      <c r="V17" s="51"/>
      <c r="W17" s="59"/>
    </row>
    <row r="18" spans="1:23" ht="15" thickBot="1">
      <c r="A18" t="s">
        <v>974</v>
      </c>
      <c r="B18">
        <v>5</v>
      </c>
      <c r="O18" t="s">
        <v>973</v>
      </c>
      <c r="P18">
        <v>2</v>
      </c>
      <c r="R18" s="50">
        <v>0.39</v>
      </c>
      <c r="S18" s="51">
        <v>1</v>
      </c>
      <c r="T18" s="52"/>
      <c r="U18" s="51"/>
      <c r="V18" s="51"/>
      <c r="W18" s="59"/>
    </row>
    <row r="19" spans="1:23" ht="15" thickBot="1">
      <c r="A19" t="s">
        <v>974</v>
      </c>
      <c r="B19">
        <v>5</v>
      </c>
      <c r="O19" t="s">
        <v>972</v>
      </c>
      <c r="P19">
        <v>2</v>
      </c>
      <c r="R19" s="50">
        <v>0.4</v>
      </c>
      <c r="S19" s="51">
        <v>7</v>
      </c>
      <c r="T19" s="52"/>
      <c r="U19" s="51"/>
      <c r="V19" s="51"/>
      <c r="W19" s="59"/>
    </row>
    <row r="20" spans="1:23" ht="15" thickBot="1">
      <c r="A20" t="s">
        <v>974</v>
      </c>
      <c r="B20">
        <v>5</v>
      </c>
      <c r="O20" t="s">
        <v>974</v>
      </c>
      <c r="P20">
        <v>2</v>
      </c>
      <c r="R20" s="50">
        <v>0.48</v>
      </c>
      <c r="S20" s="51">
        <v>1</v>
      </c>
      <c r="T20" s="52"/>
      <c r="U20" s="51"/>
      <c r="V20" s="51"/>
      <c r="W20" s="59"/>
    </row>
    <row r="21" spans="1:23" ht="15" thickBot="1">
      <c r="A21" t="s">
        <v>974</v>
      </c>
      <c r="B21">
        <v>5</v>
      </c>
      <c r="O21" t="s">
        <v>974</v>
      </c>
      <c r="P21">
        <v>2</v>
      </c>
      <c r="R21" s="50">
        <v>0.5</v>
      </c>
      <c r="S21" s="51">
        <v>5</v>
      </c>
      <c r="T21" s="52"/>
      <c r="U21" s="51"/>
      <c r="V21" s="51"/>
      <c r="W21" s="59"/>
    </row>
    <row r="22" spans="1:23" ht="15" thickBot="1">
      <c r="A22" t="s">
        <v>974</v>
      </c>
      <c r="B22">
        <v>5</v>
      </c>
      <c r="O22" t="s">
        <v>974</v>
      </c>
      <c r="P22">
        <v>2</v>
      </c>
      <c r="R22" s="50">
        <v>0.55000000000000004</v>
      </c>
      <c r="S22" s="51">
        <v>1</v>
      </c>
      <c r="T22" s="52"/>
      <c r="U22" s="51" t="s">
        <v>1222</v>
      </c>
      <c r="V22" s="51" t="s">
        <v>1226</v>
      </c>
      <c r="W22" s="59">
        <f>15/129</f>
        <v>0.11627906976744186</v>
      </c>
    </row>
    <row r="23" spans="1:23" ht="15" thickBot="1">
      <c r="A23" t="s">
        <v>974</v>
      </c>
      <c r="B23">
        <v>5</v>
      </c>
      <c r="O23" t="s">
        <v>974</v>
      </c>
      <c r="P23">
        <v>2</v>
      </c>
      <c r="R23" s="50">
        <v>0.6</v>
      </c>
      <c r="S23" s="51">
        <v>5</v>
      </c>
      <c r="T23" s="52"/>
      <c r="U23" s="51"/>
      <c r="V23" s="51"/>
      <c r="W23" s="59"/>
    </row>
    <row r="24" spans="1:23" ht="15" thickBot="1">
      <c r="A24" t="s">
        <v>974</v>
      </c>
      <c r="B24">
        <v>5</v>
      </c>
      <c r="O24" t="s">
        <v>974</v>
      </c>
      <c r="P24">
        <v>2</v>
      </c>
      <c r="R24" s="50">
        <v>0.65</v>
      </c>
      <c r="S24" s="51">
        <v>1</v>
      </c>
      <c r="T24" s="52"/>
      <c r="U24" s="51"/>
      <c r="V24" s="51"/>
      <c r="W24" s="59"/>
    </row>
    <row r="25" spans="1:23" ht="15" thickBot="1">
      <c r="A25" t="s">
        <v>974</v>
      </c>
      <c r="B25">
        <v>7</v>
      </c>
      <c r="D25" s="36" t="s">
        <v>1230</v>
      </c>
      <c r="E25" s="25">
        <v>7.0000000000000007E-2</v>
      </c>
      <c r="O25" t="s">
        <v>972</v>
      </c>
      <c r="P25">
        <v>2</v>
      </c>
      <c r="R25" s="50">
        <v>0.7</v>
      </c>
      <c r="S25" s="51">
        <v>5</v>
      </c>
      <c r="T25" s="52"/>
      <c r="U25" s="51"/>
      <c r="V25" s="51"/>
      <c r="W25" s="59"/>
    </row>
    <row r="26" spans="1:23" ht="15" thickBot="1">
      <c r="A26" t="s">
        <v>974</v>
      </c>
      <c r="B26">
        <v>8</v>
      </c>
      <c r="D26" s="36" t="s">
        <v>1231</v>
      </c>
      <c r="E26" s="25">
        <v>0.3</v>
      </c>
      <c r="O26" t="s">
        <v>972</v>
      </c>
      <c r="P26">
        <v>2</v>
      </c>
      <c r="R26" s="50">
        <v>0.75</v>
      </c>
      <c r="S26" s="51">
        <v>3</v>
      </c>
      <c r="T26" s="52"/>
      <c r="U26" s="51"/>
      <c r="V26" s="51"/>
      <c r="W26" s="59"/>
    </row>
    <row r="27" spans="1:23" ht="15" thickBot="1">
      <c r="A27" t="s">
        <v>974</v>
      </c>
      <c r="B27">
        <v>8</v>
      </c>
      <c r="D27" s="36" t="s">
        <v>1232</v>
      </c>
      <c r="E27" s="25">
        <v>0.23</v>
      </c>
      <c r="O27" t="s">
        <v>974</v>
      </c>
      <c r="P27">
        <v>3</v>
      </c>
      <c r="R27" s="50">
        <v>0.78</v>
      </c>
      <c r="S27" s="51">
        <v>1</v>
      </c>
      <c r="T27" s="52"/>
      <c r="U27" s="51" t="s">
        <v>1223</v>
      </c>
      <c r="V27" s="51" t="s">
        <v>1225</v>
      </c>
      <c r="W27" s="59">
        <f>13/129</f>
        <v>0.10077519379844961</v>
      </c>
    </row>
    <row r="28" spans="1:23" ht="15" thickBot="1">
      <c r="A28" t="s">
        <v>974</v>
      </c>
      <c r="B28">
        <v>8</v>
      </c>
      <c r="D28" s="36" t="s">
        <v>1233</v>
      </c>
      <c r="E28" s="25">
        <v>0.18</v>
      </c>
      <c r="O28" t="s">
        <v>973</v>
      </c>
      <c r="P28">
        <v>3</v>
      </c>
      <c r="R28" s="50">
        <v>0.8</v>
      </c>
      <c r="S28" s="51">
        <v>1</v>
      </c>
      <c r="T28" s="52"/>
      <c r="U28" s="51"/>
      <c r="V28" s="51"/>
      <c r="W28" s="59"/>
    </row>
    <row r="29" spans="1:23" ht="15" thickBot="1">
      <c r="A29" t="s">
        <v>974</v>
      </c>
      <c r="B29">
        <v>10</v>
      </c>
      <c r="D29" s="36" t="s">
        <v>1234</v>
      </c>
      <c r="E29" s="25">
        <v>0.12</v>
      </c>
      <c r="O29" t="s">
        <v>974</v>
      </c>
      <c r="P29">
        <v>4</v>
      </c>
      <c r="R29" s="50">
        <v>0.85</v>
      </c>
      <c r="S29" s="51">
        <v>1</v>
      </c>
      <c r="T29" s="52"/>
      <c r="U29" s="51"/>
      <c r="V29" s="51"/>
      <c r="W29" s="59"/>
    </row>
    <row r="30" spans="1:23" ht="15" thickBot="1">
      <c r="A30" t="s">
        <v>974</v>
      </c>
      <c r="B30">
        <v>10</v>
      </c>
      <c r="D30" s="36" t="s">
        <v>1235</v>
      </c>
      <c r="E30" s="25">
        <v>0.1</v>
      </c>
      <c r="O30" t="s">
        <v>954</v>
      </c>
      <c r="P30">
        <v>5</v>
      </c>
      <c r="R30" s="50">
        <v>0.9</v>
      </c>
      <c r="S30" s="51">
        <v>6</v>
      </c>
      <c r="T30" s="52"/>
      <c r="U30" s="51"/>
      <c r="V30" s="51"/>
      <c r="W30" s="59"/>
    </row>
    <row r="31" spans="1:23" ht="15" thickBot="1">
      <c r="A31" t="s">
        <v>974</v>
      </c>
      <c r="B31">
        <v>10</v>
      </c>
      <c r="D31" s="36" t="s">
        <v>1236</v>
      </c>
      <c r="E31" s="25">
        <v>0</v>
      </c>
      <c r="O31" t="s">
        <v>972</v>
      </c>
      <c r="P31">
        <v>5</v>
      </c>
      <c r="R31" s="50">
        <v>0.95</v>
      </c>
      <c r="S31" s="51">
        <v>3</v>
      </c>
      <c r="T31" s="52"/>
      <c r="U31" s="51"/>
      <c r="V31" s="51"/>
      <c r="W31" s="59"/>
    </row>
    <row r="32" spans="1:23" ht="15" thickBot="1">
      <c r="A32" t="s">
        <v>974</v>
      </c>
      <c r="B32">
        <v>15</v>
      </c>
      <c r="E32" s="25">
        <f>SUM(E25:E31)</f>
        <v>1</v>
      </c>
      <c r="O32" t="s">
        <v>972</v>
      </c>
      <c r="P32">
        <v>5</v>
      </c>
      <c r="R32" s="50">
        <v>0.98</v>
      </c>
      <c r="S32" s="51">
        <v>1</v>
      </c>
      <c r="T32" s="52"/>
      <c r="U32" s="51"/>
      <c r="V32" s="51"/>
      <c r="W32" s="59"/>
    </row>
    <row r="33" spans="1:23" ht="15" thickBot="1">
      <c r="A33" t="s">
        <v>974</v>
      </c>
      <c r="B33">
        <v>15</v>
      </c>
      <c r="O33" t="s">
        <v>972</v>
      </c>
      <c r="P33">
        <v>5</v>
      </c>
      <c r="R33" s="50"/>
      <c r="S33" s="51"/>
      <c r="T33" s="52"/>
      <c r="U33" s="58">
        <v>1</v>
      </c>
      <c r="V33" s="51" t="s">
        <v>1224</v>
      </c>
      <c r="W33" s="59">
        <f>0/120</f>
        <v>0</v>
      </c>
    </row>
    <row r="34" spans="1:23" ht="15" thickBot="1">
      <c r="A34" t="s">
        <v>974</v>
      </c>
      <c r="B34">
        <v>20</v>
      </c>
      <c r="O34" t="s">
        <v>972</v>
      </c>
      <c r="P34">
        <v>5</v>
      </c>
      <c r="R34" s="53"/>
      <c r="S34" s="51"/>
      <c r="T34" s="52"/>
      <c r="U34" s="51"/>
      <c r="V34" s="51"/>
      <c r="W34" s="57"/>
    </row>
    <row r="35" spans="1:23" ht="15" thickBot="1">
      <c r="A35" t="s">
        <v>974</v>
      </c>
      <c r="B35">
        <v>20</v>
      </c>
      <c r="O35" t="s">
        <v>972</v>
      </c>
      <c r="P35">
        <v>5</v>
      </c>
      <c r="R35" s="53" t="s">
        <v>978</v>
      </c>
      <c r="S35" s="51">
        <f>SUM(S4:S34)</f>
        <v>129</v>
      </c>
      <c r="T35" s="52"/>
      <c r="U35" s="51"/>
      <c r="V35" s="51"/>
      <c r="W35" s="57"/>
    </row>
    <row r="36" spans="1:23" ht="15" thickBot="1">
      <c r="A36" t="s">
        <v>974</v>
      </c>
      <c r="B36">
        <v>75</v>
      </c>
      <c r="O36" t="s">
        <v>972</v>
      </c>
      <c r="P36">
        <v>5</v>
      </c>
      <c r="R36" s="53"/>
      <c r="S36" s="51"/>
      <c r="T36" s="52"/>
      <c r="U36" s="51"/>
      <c r="V36" s="51"/>
      <c r="W36" s="57"/>
    </row>
    <row r="37" spans="1:23" ht="15" thickBot="1">
      <c r="C37" s="15">
        <f>(SUM(B3:B36)/34)</f>
        <v>8.0294117647058822</v>
      </c>
      <c r="O37" t="s">
        <v>972</v>
      </c>
      <c r="P37">
        <v>5</v>
      </c>
      <c r="R37" s="54"/>
      <c r="S37" s="55"/>
      <c r="T37" s="56"/>
      <c r="U37" s="55"/>
      <c r="V37" s="55"/>
      <c r="W37" s="57"/>
    </row>
    <row r="38" spans="1:23">
      <c r="O38" t="s">
        <v>972</v>
      </c>
      <c r="P38">
        <v>5</v>
      </c>
    </row>
    <row r="39" spans="1:23">
      <c r="A39" t="s">
        <v>973</v>
      </c>
      <c r="B39">
        <v>2</v>
      </c>
      <c r="O39" t="s">
        <v>974</v>
      </c>
      <c r="P39">
        <v>5</v>
      </c>
    </row>
    <row r="40" spans="1:23">
      <c r="A40" t="s">
        <v>973</v>
      </c>
      <c r="B40">
        <v>3</v>
      </c>
      <c r="O40" t="s">
        <v>974</v>
      </c>
      <c r="P40">
        <v>5</v>
      </c>
    </row>
    <row r="41" spans="1:23">
      <c r="A41" t="s">
        <v>973</v>
      </c>
      <c r="B41">
        <v>5</v>
      </c>
      <c r="O41" t="s">
        <v>974</v>
      </c>
      <c r="P41">
        <v>5</v>
      </c>
    </row>
    <row r="42" spans="1:23">
      <c r="A42" t="s">
        <v>973</v>
      </c>
      <c r="B42">
        <v>8</v>
      </c>
      <c r="O42" t="s">
        <v>974</v>
      </c>
      <c r="P42">
        <v>5</v>
      </c>
    </row>
    <row r="43" spans="1:23">
      <c r="A43" t="s">
        <v>973</v>
      </c>
      <c r="B43">
        <v>10</v>
      </c>
      <c r="O43" t="s">
        <v>974</v>
      </c>
      <c r="P43">
        <v>5</v>
      </c>
    </row>
    <row r="44" spans="1:23">
      <c r="A44" t="s">
        <v>973</v>
      </c>
      <c r="B44">
        <v>15</v>
      </c>
      <c r="O44" t="s">
        <v>974</v>
      </c>
      <c r="P44">
        <v>5</v>
      </c>
    </row>
    <row r="45" spans="1:23">
      <c r="A45" t="s">
        <v>973</v>
      </c>
      <c r="B45">
        <v>40</v>
      </c>
      <c r="O45" t="s">
        <v>974</v>
      </c>
      <c r="P45">
        <v>5</v>
      </c>
    </row>
    <row r="46" spans="1:23">
      <c r="A46" t="s">
        <v>973</v>
      </c>
      <c r="B46">
        <v>60</v>
      </c>
      <c r="O46" t="s">
        <v>974</v>
      </c>
      <c r="P46">
        <v>5</v>
      </c>
    </row>
    <row r="47" spans="1:23">
      <c r="C47" s="15">
        <f>(SUM(B39:B46)/8)</f>
        <v>17.875</v>
      </c>
      <c r="O47" t="s">
        <v>974</v>
      </c>
      <c r="P47">
        <v>5</v>
      </c>
    </row>
    <row r="48" spans="1:23">
      <c r="O48" t="s">
        <v>972</v>
      </c>
      <c r="P48">
        <v>5</v>
      </c>
    </row>
    <row r="49" spans="1:16">
      <c r="A49" t="s">
        <v>972</v>
      </c>
      <c r="B49">
        <v>0</v>
      </c>
      <c r="O49" t="s">
        <v>972</v>
      </c>
      <c r="P49">
        <v>5</v>
      </c>
    </row>
    <row r="50" spans="1:16">
      <c r="A50" t="s">
        <v>972</v>
      </c>
      <c r="B50">
        <v>0</v>
      </c>
      <c r="O50" t="s">
        <v>973</v>
      </c>
      <c r="P50">
        <v>5</v>
      </c>
    </row>
    <row r="51" spans="1:16">
      <c r="A51" t="s">
        <v>972</v>
      </c>
      <c r="B51">
        <v>0</v>
      </c>
      <c r="O51" t="s">
        <v>974</v>
      </c>
      <c r="P51">
        <v>7</v>
      </c>
    </row>
    <row r="52" spans="1:16">
      <c r="A52" t="s">
        <v>972</v>
      </c>
      <c r="B52">
        <v>0</v>
      </c>
      <c r="O52" t="s">
        <v>973</v>
      </c>
      <c r="P52">
        <v>8</v>
      </c>
    </row>
    <row r="53" spans="1:16">
      <c r="A53" t="s">
        <v>972</v>
      </c>
      <c r="B53">
        <v>0</v>
      </c>
      <c r="O53" t="s">
        <v>974</v>
      </c>
      <c r="P53">
        <v>8</v>
      </c>
    </row>
    <row r="54" spans="1:16">
      <c r="A54" t="s">
        <v>972</v>
      </c>
      <c r="B54">
        <v>0</v>
      </c>
      <c r="O54" t="s">
        <v>974</v>
      </c>
      <c r="P54">
        <v>8</v>
      </c>
    </row>
    <row r="55" spans="1:16">
      <c r="A55" t="s">
        <v>972</v>
      </c>
      <c r="B55">
        <v>0</v>
      </c>
      <c r="O55" t="s">
        <v>974</v>
      </c>
      <c r="P55">
        <v>8</v>
      </c>
    </row>
    <row r="56" spans="1:16">
      <c r="A56" t="s">
        <v>972</v>
      </c>
      <c r="B56">
        <v>0</v>
      </c>
      <c r="O56" t="s">
        <v>972</v>
      </c>
      <c r="P56">
        <v>8</v>
      </c>
    </row>
    <row r="57" spans="1:16">
      <c r="A57" t="s">
        <v>972</v>
      </c>
      <c r="B57">
        <v>1</v>
      </c>
      <c r="O57" t="s">
        <v>972</v>
      </c>
      <c r="P57">
        <v>8</v>
      </c>
    </row>
    <row r="58" spans="1:16">
      <c r="A58" t="s">
        <v>972</v>
      </c>
      <c r="B58">
        <v>2</v>
      </c>
      <c r="O58" t="s">
        <v>973</v>
      </c>
      <c r="P58">
        <v>10</v>
      </c>
    </row>
    <row r="59" spans="1:16">
      <c r="A59" t="s">
        <v>972</v>
      </c>
      <c r="B59">
        <v>2</v>
      </c>
      <c r="O59" t="s">
        <v>972</v>
      </c>
      <c r="P59">
        <v>10</v>
      </c>
    </row>
    <row r="60" spans="1:16">
      <c r="A60" t="s">
        <v>972</v>
      </c>
      <c r="B60">
        <v>2</v>
      </c>
      <c r="O60" t="s">
        <v>972</v>
      </c>
      <c r="P60">
        <v>10</v>
      </c>
    </row>
    <row r="61" spans="1:16">
      <c r="A61" t="s">
        <v>972</v>
      </c>
      <c r="B61">
        <v>5</v>
      </c>
      <c r="O61" t="s">
        <v>972</v>
      </c>
      <c r="P61">
        <v>10</v>
      </c>
    </row>
    <row r="62" spans="1:16">
      <c r="A62" t="s">
        <v>972</v>
      </c>
      <c r="B62">
        <v>5</v>
      </c>
      <c r="O62" t="s">
        <v>972</v>
      </c>
      <c r="P62">
        <v>10</v>
      </c>
    </row>
    <row r="63" spans="1:16">
      <c r="A63" t="s">
        <v>972</v>
      </c>
      <c r="B63">
        <v>5</v>
      </c>
      <c r="O63" t="s">
        <v>974</v>
      </c>
      <c r="P63">
        <v>10</v>
      </c>
    </row>
    <row r="64" spans="1:16">
      <c r="A64" t="s">
        <v>972</v>
      </c>
      <c r="B64">
        <v>5</v>
      </c>
      <c r="O64" t="s">
        <v>974</v>
      </c>
      <c r="P64">
        <v>10</v>
      </c>
    </row>
    <row r="65" spans="1:16">
      <c r="A65" t="s">
        <v>972</v>
      </c>
      <c r="B65">
        <v>5</v>
      </c>
      <c r="O65" t="s">
        <v>974</v>
      </c>
      <c r="P65">
        <v>10</v>
      </c>
    </row>
    <row r="66" spans="1:16">
      <c r="A66" t="s">
        <v>972</v>
      </c>
      <c r="B66">
        <v>5</v>
      </c>
      <c r="O66" t="s">
        <v>972</v>
      </c>
      <c r="P66">
        <v>10</v>
      </c>
    </row>
    <row r="67" spans="1:16">
      <c r="A67" t="s">
        <v>972</v>
      </c>
      <c r="B67">
        <v>5</v>
      </c>
      <c r="O67" t="s">
        <v>972</v>
      </c>
      <c r="P67">
        <v>10</v>
      </c>
    </row>
    <row r="68" spans="1:16">
      <c r="A68" t="s">
        <v>972</v>
      </c>
      <c r="B68">
        <v>5</v>
      </c>
      <c r="O68" t="s">
        <v>972</v>
      </c>
      <c r="P68">
        <v>15</v>
      </c>
    </row>
    <row r="69" spans="1:16">
      <c r="A69" t="s">
        <v>972</v>
      </c>
      <c r="B69">
        <v>5</v>
      </c>
      <c r="O69" t="s">
        <v>974</v>
      </c>
      <c r="P69">
        <v>15</v>
      </c>
    </row>
    <row r="70" spans="1:16">
      <c r="A70" t="s">
        <v>972</v>
      </c>
      <c r="B70">
        <v>5</v>
      </c>
      <c r="O70" t="s">
        <v>972</v>
      </c>
      <c r="P70">
        <v>15</v>
      </c>
    </row>
    <row r="71" spans="1:16">
      <c r="A71" t="s">
        <v>972</v>
      </c>
      <c r="B71">
        <v>8</v>
      </c>
      <c r="O71" t="s">
        <v>974</v>
      </c>
      <c r="P71">
        <v>15</v>
      </c>
    </row>
    <row r="72" spans="1:16">
      <c r="A72" t="s">
        <v>972</v>
      </c>
      <c r="B72">
        <v>8</v>
      </c>
      <c r="O72" t="s">
        <v>973</v>
      </c>
      <c r="P72">
        <v>15</v>
      </c>
    </row>
    <row r="73" spans="1:16">
      <c r="A73" t="s">
        <v>972</v>
      </c>
      <c r="B73">
        <v>10</v>
      </c>
      <c r="O73" t="s">
        <v>954</v>
      </c>
      <c r="P73">
        <v>20</v>
      </c>
    </row>
    <row r="74" spans="1:16">
      <c r="A74" t="s">
        <v>972</v>
      </c>
      <c r="B74">
        <v>10</v>
      </c>
      <c r="O74" t="s">
        <v>972</v>
      </c>
      <c r="P74">
        <v>20</v>
      </c>
    </row>
    <row r="75" spans="1:16">
      <c r="A75" t="s">
        <v>972</v>
      </c>
      <c r="B75">
        <v>10</v>
      </c>
      <c r="O75" t="s">
        <v>972</v>
      </c>
      <c r="P75">
        <v>20</v>
      </c>
    </row>
    <row r="76" spans="1:16">
      <c r="A76" t="s">
        <v>972</v>
      </c>
      <c r="B76">
        <v>10</v>
      </c>
      <c r="O76" t="s">
        <v>974</v>
      </c>
      <c r="P76">
        <v>20</v>
      </c>
    </row>
    <row r="77" spans="1:16">
      <c r="A77" t="s">
        <v>972</v>
      </c>
      <c r="B77">
        <v>10</v>
      </c>
      <c r="O77" t="s">
        <v>974</v>
      </c>
      <c r="P77">
        <v>20</v>
      </c>
    </row>
    <row r="78" spans="1:16">
      <c r="A78" t="s">
        <v>972</v>
      </c>
      <c r="B78">
        <v>10</v>
      </c>
      <c r="O78" t="s">
        <v>972</v>
      </c>
      <c r="P78">
        <v>20</v>
      </c>
    </row>
    <row r="79" spans="1:16">
      <c r="A79" t="s">
        <v>972</v>
      </c>
      <c r="B79">
        <v>15</v>
      </c>
      <c r="O79" t="s">
        <v>972</v>
      </c>
      <c r="P79">
        <v>25</v>
      </c>
    </row>
    <row r="80" spans="1:16">
      <c r="A80" t="s">
        <v>972</v>
      </c>
      <c r="B80">
        <v>15</v>
      </c>
      <c r="O80" t="s">
        <v>972</v>
      </c>
      <c r="P80">
        <v>25</v>
      </c>
    </row>
    <row r="81" spans="1:16">
      <c r="A81" t="s">
        <v>972</v>
      </c>
      <c r="B81">
        <v>20</v>
      </c>
      <c r="O81" t="s">
        <v>972</v>
      </c>
      <c r="P81">
        <v>30</v>
      </c>
    </row>
    <row r="82" spans="1:16">
      <c r="A82" t="s">
        <v>972</v>
      </c>
      <c r="B82">
        <v>20</v>
      </c>
      <c r="O82" t="s">
        <v>972</v>
      </c>
      <c r="P82">
        <v>30</v>
      </c>
    </row>
    <row r="83" spans="1:16">
      <c r="A83" t="s">
        <v>972</v>
      </c>
      <c r="B83">
        <v>20</v>
      </c>
      <c r="O83" t="s">
        <v>972</v>
      </c>
      <c r="P83">
        <v>30</v>
      </c>
    </row>
    <row r="84" spans="1:16">
      <c r="A84" t="s">
        <v>972</v>
      </c>
      <c r="B84">
        <v>25</v>
      </c>
      <c r="O84" t="s">
        <v>972</v>
      </c>
      <c r="P84">
        <v>30</v>
      </c>
    </row>
    <row r="85" spans="1:16">
      <c r="A85" t="s">
        <v>972</v>
      </c>
      <c r="B85">
        <v>25</v>
      </c>
      <c r="O85" t="s">
        <v>972</v>
      </c>
      <c r="P85">
        <v>35</v>
      </c>
    </row>
    <row r="86" spans="1:16">
      <c r="A86" t="s">
        <v>972</v>
      </c>
      <c r="B86">
        <v>30</v>
      </c>
      <c r="O86" t="s">
        <v>972</v>
      </c>
      <c r="P86">
        <v>35</v>
      </c>
    </row>
    <row r="87" spans="1:16">
      <c r="A87" t="s">
        <v>972</v>
      </c>
      <c r="B87">
        <v>30</v>
      </c>
      <c r="O87" t="s">
        <v>972</v>
      </c>
      <c r="P87">
        <v>35</v>
      </c>
    </row>
    <row r="88" spans="1:16">
      <c r="A88" t="s">
        <v>972</v>
      </c>
      <c r="B88">
        <v>30</v>
      </c>
      <c r="O88" t="s">
        <v>972</v>
      </c>
      <c r="P88">
        <v>35</v>
      </c>
    </row>
    <row r="89" spans="1:16">
      <c r="A89" t="s">
        <v>972</v>
      </c>
      <c r="B89">
        <v>30</v>
      </c>
      <c r="O89" t="s">
        <v>972</v>
      </c>
      <c r="P89">
        <v>35</v>
      </c>
    </row>
    <row r="90" spans="1:16">
      <c r="A90" t="s">
        <v>972</v>
      </c>
      <c r="B90">
        <v>35</v>
      </c>
      <c r="O90" t="s">
        <v>972</v>
      </c>
      <c r="P90">
        <v>39</v>
      </c>
    </row>
    <row r="91" spans="1:16">
      <c r="A91" t="s">
        <v>972</v>
      </c>
      <c r="B91">
        <v>35</v>
      </c>
      <c r="O91" t="s">
        <v>972</v>
      </c>
      <c r="P91">
        <v>40</v>
      </c>
    </row>
    <row r="92" spans="1:16">
      <c r="A92" t="s">
        <v>972</v>
      </c>
      <c r="B92">
        <v>35</v>
      </c>
      <c r="O92" t="s">
        <v>972</v>
      </c>
      <c r="P92">
        <v>40</v>
      </c>
    </row>
    <row r="93" spans="1:16">
      <c r="A93" t="s">
        <v>972</v>
      </c>
      <c r="B93">
        <v>35</v>
      </c>
      <c r="O93" t="s">
        <v>972</v>
      </c>
      <c r="P93">
        <v>40</v>
      </c>
    </row>
    <row r="94" spans="1:16">
      <c r="A94" t="s">
        <v>972</v>
      </c>
      <c r="B94">
        <v>35</v>
      </c>
      <c r="O94" t="s">
        <v>972</v>
      </c>
      <c r="P94">
        <v>40</v>
      </c>
    </row>
    <row r="95" spans="1:16">
      <c r="A95" t="s">
        <v>972</v>
      </c>
      <c r="B95">
        <v>39</v>
      </c>
      <c r="O95" t="s">
        <v>972</v>
      </c>
      <c r="P95">
        <v>40</v>
      </c>
    </row>
    <row r="96" spans="1:16">
      <c r="A96" t="s">
        <v>972</v>
      </c>
      <c r="B96">
        <v>40</v>
      </c>
      <c r="O96" t="s">
        <v>973</v>
      </c>
      <c r="P96">
        <v>40</v>
      </c>
    </row>
    <row r="97" spans="1:16">
      <c r="A97" t="s">
        <v>972</v>
      </c>
      <c r="B97">
        <v>40</v>
      </c>
      <c r="O97" t="s">
        <v>972</v>
      </c>
      <c r="P97">
        <v>40</v>
      </c>
    </row>
    <row r="98" spans="1:16">
      <c r="A98" t="s">
        <v>972</v>
      </c>
      <c r="B98">
        <v>40</v>
      </c>
      <c r="O98" t="s">
        <v>954</v>
      </c>
      <c r="P98">
        <v>48</v>
      </c>
    </row>
    <row r="99" spans="1:16">
      <c r="A99" t="s">
        <v>972</v>
      </c>
      <c r="B99">
        <v>40</v>
      </c>
      <c r="O99" t="s">
        <v>972</v>
      </c>
      <c r="P99">
        <v>50</v>
      </c>
    </row>
    <row r="100" spans="1:16">
      <c r="A100" t="s">
        <v>972</v>
      </c>
      <c r="B100">
        <v>40</v>
      </c>
      <c r="O100" t="s">
        <v>972</v>
      </c>
      <c r="P100">
        <v>50</v>
      </c>
    </row>
    <row r="101" spans="1:16">
      <c r="A101" t="s">
        <v>972</v>
      </c>
      <c r="B101">
        <v>40</v>
      </c>
      <c r="O101" t="s">
        <v>972</v>
      </c>
      <c r="P101">
        <v>50</v>
      </c>
    </row>
    <row r="102" spans="1:16">
      <c r="A102" t="s">
        <v>972</v>
      </c>
      <c r="B102">
        <v>50</v>
      </c>
      <c r="O102" t="s">
        <v>972</v>
      </c>
      <c r="P102">
        <v>50</v>
      </c>
    </row>
    <row r="103" spans="1:16">
      <c r="A103" t="s">
        <v>972</v>
      </c>
      <c r="B103">
        <v>50</v>
      </c>
      <c r="O103" t="s">
        <v>972</v>
      </c>
      <c r="P103">
        <v>50</v>
      </c>
    </row>
    <row r="104" spans="1:16">
      <c r="A104" t="s">
        <v>972</v>
      </c>
      <c r="B104">
        <v>50</v>
      </c>
      <c r="O104" t="s">
        <v>972</v>
      </c>
      <c r="P104">
        <v>55</v>
      </c>
    </row>
    <row r="105" spans="1:16">
      <c r="A105" t="s">
        <v>972</v>
      </c>
      <c r="B105">
        <v>50</v>
      </c>
      <c r="O105" t="s">
        <v>973</v>
      </c>
      <c r="P105">
        <v>60</v>
      </c>
    </row>
    <row r="106" spans="1:16">
      <c r="A106" t="s">
        <v>972</v>
      </c>
      <c r="B106">
        <v>50</v>
      </c>
      <c r="O106" t="s">
        <v>954</v>
      </c>
      <c r="P106">
        <v>60</v>
      </c>
    </row>
    <row r="107" spans="1:16">
      <c r="A107" t="s">
        <v>972</v>
      </c>
      <c r="B107">
        <v>55</v>
      </c>
      <c r="O107" t="s">
        <v>972</v>
      </c>
      <c r="P107">
        <v>60</v>
      </c>
    </row>
    <row r="108" spans="1:16">
      <c r="A108" t="s">
        <v>972</v>
      </c>
      <c r="B108">
        <v>60</v>
      </c>
      <c r="O108" t="s">
        <v>972</v>
      </c>
      <c r="P108">
        <v>60</v>
      </c>
    </row>
    <row r="109" spans="1:16">
      <c r="A109" t="s">
        <v>972</v>
      </c>
      <c r="B109">
        <v>60</v>
      </c>
      <c r="O109" t="s">
        <v>972</v>
      </c>
      <c r="P109">
        <v>60</v>
      </c>
    </row>
    <row r="110" spans="1:16">
      <c r="A110" t="s">
        <v>972</v>
      </c>
      <c r="B110">
        <v>60</v>
      </c>
      <c r="O110" t="s">
        <v>972</v>
      </c>
      <c r="P110">
        <v>65</v>
      </c>
    </row>
    <row r="111" spans="1:16">
      <c r="A111" t="s">
        <v>972</v>
      </c>
      <c r="B111">
        <v>65</v>
      </c>
      <c r="O111" t="s">
        <v>972</v>
      </c>
      <c r="P111">
        <v>70</v>
      </c>
    </row>
    <row r="112" spans="1:16">
      <c r="A112" t="s">
        <v>972</v>
      </c>
      <c r="B112">
        <v>70</v>
      </c>
      <c r="O112" t="s">
        <v>972</v>
      </c>
      <c r="P112">
        <v>70</v>
      </c>
    </row>
    <row r="113" spans="1:16">
      <c r="A113" t="s">
        <v>972</v>
      </c>
      <c r="B113">
        <v>70</v>
      </c>
      <c r="O113" t="s">
        <v>972</v>
      </c>
      <c r="P113">
        <v>70</v>
      </c>
    </row>
    <row r="114" spans="1:16">
      <c r="A114" t="s">
        <v>972</v>
      </c>
      <c r="B114">
        <v>70</v>
      </c>
      <c r="O114" t="s">
        <v>972</v>
      </c>
      <c r="P114">
        <v>70</v>
      </c>
    </row>
    <row r="115" spans="1:16">
      <c r="A115" t="s">
        <v>972</v>
      </c>
      <c r="B115">
        <v>70</v>
      </c>
      <c r="O115" t="s">
        <v>972</v>
      </c>
      <c r="P115">
        <v>70</v>
      </c>
    </row>
    <row r="116" spans="1:16">
      <c r="A116" t="s">
        <v>972</v>
      </c>
      <c r="B116">
        <v>70</v>
      </c>
      <c r="O116" t="s">
        <v>972</v>
      </c>
      <c r="P116">
        <v>75</v>
      </c>
    </row>
    <row r="117" spans="1:16">
      <c r="A117" t="s">
        <v>972</v>
      </c>
      <c r="B117">
        <v>75</v>
      </c>
      <c r="O117" t="s">
        <v>972</v>
      </c>
      <c r="P117">
        <v>75</v>
      </c>
    </row>
    <row r="118" spans="1:16">
      <c r="A118" t="s">
        <v>972</v>
      </c>
      <c r="B118">
        <v>75</v>
      </c>
      <c r="O118" t="s">
        <v>974</v>
      </c>
      <c r="P118">
        <v>75</v>
      </c>
    </row>
    <row r="119" spans="1:16">
      <c r="A119" t="s">
        <v>972</v>
      </c>
      <c r="B119">
        <v>78</v>
      </c>
      <c r="O119" t="s">
        <v>972</v>
      </c>
      <c r="P119">
        <v>78</v>
      </c>
    </row>
    <row r="120" spans="1:16">
      <c r="A120" t="s">
        <v>972</v>
      </c>
      <c r="B120">
        <v>80</v>
      </c>
      <c r="O120" t="s">
        <v>972</v>
      </c>
      <c r="P120">
        <v>80</v>
      </c>
    </row>
    <row r="121" spans="1:16">
      <c r="A121" t="s">
        <v>972</v>
      </c>
      <c r="B121">
        <v>85</v>
      </c>
      <c r="O121" t="s">
        <v>972</v>
      </c>
      <c r="P121">
        <v>85</v>
      </c>
    </row>
    <row r="122" spans="1:16">
      <c r="A122" t="s">
        <v>972</v>
      </c>
      <c r="B122">
        <v>90</v>
      </c>
      <c r="O122" t="s">
        <v>972</v>
      </c>
      <c r="P122">
        <v>90</v>
      </c>
    </row>
    <row r="123" spans="1:16">
      <c r="A123" t="s">
        <v>972</v>
      </c>
      <c r="B123">
        <v>90</v>
      </c>
      <c r="O123" t="s">
        <v>972</v>
      </c>
      <c r="P123">
        <v>90</v>
      </c>
    </row>
    <row r="124" spans="1:16">
      <c r="A124" t="s">
        <v>972</v>
      </c>
      <c r="B124">
        <v>90</v>
      </c>
      <c r="O124" t="s">
        <v>972</v>
      </c>
      <c r="P124">
        <v>90</v>
      </c>
    </row>
    <row r="125" spans="1:16">
      <c r="A125" t="s">
        <v>972</v>
      </c>
      <c r="B125">
        <v>90</v>
      </c>
      <c r="O125" t="s">
        <v>972</v>
      </c>
      <c r="P125">
        <v>90</v>
      </c>
    </row>
    <row r="126" spans="1:16">
      <c r="A126" t="s">
        <v>972</v>
      </c>
      <c r="B126">
        <v>90</v>
      </c>
      <c r="O126" t="s">
        <v>972</v>
      </c>
      <c r="P126">
        <v>90</v>
      </c>
    </row>
    <row r="127" spans="1:16">
      <c r="A127" t="s">
        <v>972</v>
      </c>
      <c r="B127">
        <v>95</v>
      </c>
      <c r="O127" t="s">
        <v>954</v>
      </c>
      <c r="P127">
        <v>90</v>
      </c>
    </row>
    <row r="128" spans="1:16">
      <c r="A128" t="s">
        <v>972</v>
      </c>
      <c r="B128">
        <v>95</v>
      </c>
      <c r="O128" t="s">
        <v>972</v>
      </c>
      <c r="P128">
        <v>95</v>
      </c>
    </row>
    <row r="129" spans="1:16">
      <c r="A129" t="s">
        <v>972</v>
      </c>
      <c r="B129">
        <v>95</v>
      </c>
      <c r="O129" t="s">
        <v>972</v>
      </c>
      <c r="P129">
        <v>95</v>
      </c>
    </row>
    <row r="130" spans="1:16">
      <c r="A130" t="s">
        <v>972</v>
      </c>
      <c r="B130">
        <v>98</v>
      </c>
      <c r="O130" t="s">
        <v>972</v>
      </c>
      <c r="P130">
        <v>95</v>
      </c>
    </row>
    <row r="131" spans="1:16">
      <c r="C131" s="15">
        <f>(SUM(B49:B130)/82)</f>
        <v>36.256097560975611</v>
      </c>
      <c r="O131" t="s">
        <v>972</v>
      </c>
      <c r="P131">
        <v>98</v>
      </c>
    </row>
    <row r="133" spans="1:16">
      <c r="A133" t="s">
        <v>954</v>
      </c>
      <c r="B133">
        <v>5</v>
      </c>
    </row>
    <row r="134" spans="1:16">
      <c r="A134" t="s">
        <v>954</v>
      </c>
      <c r="B134">
        <v>20</v>
      </c>
    </row>
    <row r="135" spans="1:16">
      <c r="A135" t="s">
        <v>954</v>
      </c>
      <c r="B135">
        <v>48</v>
      </c>
    </row>
    <row r="136" spans="1:16">
      <c r="A136" t="s">
        <v>954</v>
      </c>
      <c r="B136">
        <v>60</v>
      </c>
    </row>
    <row r="137" spans="1:16">
      <c r="A137" t="s">
        <v>954</v>
      </c>
      <c r="B137">
        <v>90</v>
      </c>
    </row>
    <row r="138" spans="1:16">
      <c r="C138" s="15">
        <f>(SUM(B133:B137)/5)</f>
        <v>44.6</v>
      </c>
    </row>
    <row r="140" spans="1:16">
      <c r="A140" t="s">
        <v>978</v>
      </c>
      <c r="B140">
        <f>(SUM(B3:B138))/129</f>
        <v>28</v>
      </c>
    </row>
  </sheetData>
  <sortState ref="O3:P145">
    <sortCondition ref="P3:P145"/>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N146"/>
  <sheetViews>
    <sheetView workbookViewId="0"/>
  </sheetViews>
  <sheetFormatPr defaultRowHeight="14.4"/>
  <cols>
    <col min="1" max="1" width="45.6640625" bestFit="1" customWidth="1"/>
    <col min="2" max="2" width="30" customWidth="1"/>
    <col min="3" max="3" width="25.5546875" customWidth="1"/>
    <col min="4" max="4" width="2.6640625" style="2" customWidth="1"/>
    <col min="5" max="5" width="38.33203125" bestFit="1" customWidth="1"/>
    <col min="8" max="8" width="2.6640625" style="2" customWidth="1"/>
    <col min="9" max="9" width="31.6640625" bestFit="1" customWidth="1"/>
  </cols>
  <sheetData>
    <row r="1" spans="1:10">
      <c r="A1" s="9" t="s">
        <v>933</v>
      </c>
      <c r="B1" s="3" t="s">
        <v>934</v>
      </c>
    </row>
    <row r="2" spans="1:10">
      <c r="A2" s="3" t="s">
        <v>934</v>
      </c>
    </row>
    <row r="3" spans="1:10">
      <c r="A3" s="3" t="s">
        <v>935</v>
      </c>
      <c r="B3" s="1" t="s">
        <v>938</v>
      </c>
      <c r="C3" s="1" t="s">
        <v>939</v>
      </c>
      <c r="F3">
        <v>2013</v>
      </c>
      <c r="G3">
        <v>2012</v>
      </c>
      <c r="I3" s="1" t="s">
        <v>942</v>
      </c>
      <c r="J3" s="4" t="s">
        <v>958</v>
      </c>
    </row>
    <row r="4" spans="1:10">
      <c r="A4" s="3" t="s">
        <v>936</v>
      </c>
      <c r="B4" t="s">
        <v>507</v>
      </c>
      <c r="C4" t="s">
        <v>506</v>
      </c>
      <c r="E4" t="s">
        <v>539</v>
      </c>
      <c r="F4">
        <v>1</v>
      </c>
      <c r="G4">
        <v>1</v>
      </c>
      <c r="I4" t="s">
        <v>943</v>
      </c>
      <c r="J4">
        <v>1</v>
      </c>
    </row>
    <row r="5" spans="1:10">
      <c r="A5" s="3" t="s">
        <v>937</v>
      </c>
      <c r="B5" t="s">
        <v>507</v>
      </c>
      <c r="C5" t="s">
        <v>506</v>
      </c>
      <c r="E5" t="s">
        <v>499</v>
      </c>
      <c r="F5">
        <v>1</v>
      </c>
      <c r="G5" s="5" t="s">
        <v>536</v>
      </c>
      <c r="I5" t="s">
        <v>944</v>
      </c>
      <c r="J5">
        <v>1</v>
      </c>
    </row>
    <row r="6" spans="1:10">
      <c r="A6" s="3" t="s">
        <v>959</v>
      </c>
      <c r="B6" t="s">
        <v>507</v>
      </c>
      <c r="C6" t="s">
        <v>506</v>
      </c>
      <c r="E6" t="s">
        <v>511</v>
      </c>
      <c r="F6">
        <v>4</v>
      </c>
      <c r="G6">
        <v>7</v>
      </c>
      <c r="I6" t="s">
        <v>945</v>
      </c>
      <c r="J6">
        <v>1</v>
      </c>
    </row>
    <row r="7" spans="1:10">
      <c r="A7" s="3" t="s">
        <v>960</v>
      </c>
      <c r="B7" t="s">
        <v>507</v>
      </c>
      <c r="C7" t="s">
        <v>506</v>
      </c>
      <c r="E7" t="s">
        <v>528</v>
      </c>
      <c r="F7">
        <v>2</v>
      </c>
      <c r="G7">
        <v>4</v>
      </c>
      <c r="I7" t="s">
        <v>946</v>
      </c>
      <c r="J7">
        <v>1</v>
      </c>
    </row>
    <row r="8" spans="1:10">
      <c r="A8" s="3" t="s">
        <v>961</v>
      </c>
      <c r="B8" t="s">
        <v>507</v>
      </c>
      <c r="C8" t="s">
        <v>506</v>
      </c>
      <c r="E8" t="s">
        <v>570</v>
      </c>
      <c r="F8">
        <v>1</v>
      </c>
      <c r="G8" s="5" t="s">
        <v>536</v>
      </c>
      <c r="I8" t="s">
        <v>947</v>
      </c>
      <c r="J8">
        <v>2</v>
      </c>
    </row>
    <row r="9" spans="1:10">
      <c r="B9" t="s">
        <v>507</v>
      </c>
      <c r="C9" t="s">
        <v>506</v>
      </c>
      <c r="E9" t="s">
        <v>518</v>
      </c>
      <c r="F9">
        <v>36</v>
      </c>
      <c r="G9">
        <v>39</v>
      </c>
      <c r="I9" t="s">
        <v>948</v>
      </c>
      <c r="J9">
        <v>2</v>
      </c>
    </row>
    <row r="10" spans="1:10">
      <c r="A10" t="s">
        <v>962</v>
      </c>
      <c r="B10" t="s">
        <v>507</v>
      </c>
      <c r="C10" t="s">
        <v>506</v>
      </c>
      <c r="E10" t="s">
        <v>504</v>
      </c>
      <c r="F10">
        <v>18</v>
      </c>
      <c r="G10">
        <v>12</v>
      </c>
      <c r="I10" t="s">
        <v>949</v>
      </c>
      <c r="J10">
        <v>3</v>
      </c>
    </row>
    <row r="11" spans="1:10">
      <c r="A11" t="s">
        <v>940</v>
      </c>
      <c r="B11" t="s">
        <v>507</v>
      </c>
      <c r="C11" t="s">
        <v>506</v>
      </c>
      <c r="E11" t="s">
        <v>520</v>
      </c>
      <c r="F11">
        <v>3</v>
      </c>
      <c r="G11">
        <v>6</v>
      </c>
      <c r="I11" t="s">
        <v>950</v>
      </c>
      <c r="J11">
        <v>4</v>
      </c>
    </row>
    <row r="12" spans="1:10">
      <c r="B12" t="s">
        <v>507</v>
      </c>
      <c r="C12" t="s">
        <v>506</v>
      </c>
      <c r="E12" t="s">
        <v>532</v>
      </c>
      <c r="F12">
        <v>5</v>
      </c>
      <c r="G12" s="5" t="s">
        <v>536</v>
      </c>
      <c r="I12" t="s">
        <v>951</v>
      </c>
      <c r="J12">
        <v>5</v>
      </c>
    </row>
    <row r="13" spans="1:10">
      <c r="B13" t="s">
        <v>507</v>
      </c>
      <c r="C13" t="s">
        <v>506</v>
      </c>
      <c r="E13" t="s">
        <v>534</v>
      </c>
      <c r="F13">
        <v>7</v>
      </c>
      <c r="G13">
        <v>6</v>
      </c>
      <c r="I13" t="s">
        <v>952</v>
      </c>
      <c r="J13">
        <v>7</v>
      </c>
    </row>
    <row r="14" spans="1:10">
      <c r="B14" t="s">
        <v>507</v>
      </c>
      <c r="C14" t="s">
        <v>506</v>
      </c>
      <c r="E14" t="s">
        <v>507</v>
      </c>
      <c r="F14">
        <v>36</v>
      </c>
      <c r="G14">
        <v>30</v>
      </c>
      <c r="I14" t="s">
        <v>953</v>
      </c>
      <c r="J14">
        <v>18</v>
      </c>
    </row>
    <row r="15" spans="1:10">
      <c r="B15" t="s">
        <v>507</v>
      </c>
      <c r="C15" t="s">
        <v>506</v>
      </c>
      <c r="E15" t="s">
        <v>498</v>
      </c>
      <c r="F15">
        <v>26</v>
      </c>
      <c r="G15">
        <v>30</v>
      </c>
      <c r="I15" t="s">
        <v>954</v>
      </c>
      <c r="J15">
        <v>26</v>
      </c>
    </row>
    <row r="16" spans="1:10">
      <c r="B16" t="s">
        <v>507</v>
      </c>
      <c r="C16" t="s">
        <v>506</v>
      </c>
      <c r="E16" t="s">
        <v>495</v>
      </c>
      <c r="F16">
        <v>2</v>
      </c>
      <c r="G16" s="5" t="s">
        <v>536</v>
      </c>
      <c r="I16" t="s">
        <v>955</v>
      </c>
      <c r="J16">
        <v>36</v>
      </c>
    </row>
    <row r="17" spans="2:14">
      <c r="B17" t="s">
        <v>507</v>
      </c>
      <c r="C17" t="s">
        <v>506</v>
      </c>
      <c r="E17" t="s">
        <v>513</v>
      </c>
      <c r="F17">
        <v>1</v>
      </c>
      <c r="G17">
        <v>6</v>
      </c>
      <c r="I17" t="s">
        <v>956</v>
      </c>
      <c r="J17">
        <v>36</v>
      </c>
    </row>
    <row r="18" spans="2:14">
      <c r="B18" t="s">
        <v>507</v>
      </c>
      <c r="C18" t="s">
        <v>506</v>
      </c>
      <c r="F18" s="3">
        <f>SUM(F4:F17)</f>
        <v>143</v>
      </c>
      <c r="G18" s="3">
        <f>SUM(G4:G17)</f>
        <v>141</v>
      </c>
      <c r="J18" s="3">
        <f>SUM(J4:J17)</f>
        <v>143</v>
      </c>
    </row>
    <row r="19" spans="2:14">
      <c r="B19" t="s">
        <v>507</v>
      </c>
      <c r="C19" t="s">
        <v>506</v>
      </c>
    </row>
    <row r="20" spans="2:14">
      <c r="B20" t="s">
        <v>507</v>
      </c>
      <c r="C20" t="s">
        <v>506</v>
      </c>
    </row>
    <row r="21" spans="2:14">
      <c r="B21" t="s">
        <v>507</v>
      </c>
      <c r="C21" t="s">
        <v>506</v>
      </c>
    </row>
    <row r="22" spans="2:14">
      <c r="B22" t="s">
        <v>507</v>
      </c>
      <c r="C22" t="s">
        <v>506</v>
      </c>
      <c r="E22" t="s">
        <v>506</v>
      </c>
      <c r="F22">
        <v>39</v>
      </c>
      <c r="G22">
        <v>30</v>
      </c>
    </row>
    <row r="23" spans="2:14">
      <c r="B23" t="s">
        <v>507</v>
      </c>
      <c r="C23" t="s">
        <v>506</v>
      </c>
      <c r="E23" t="s">
        <v>485</v>
      </c>
      <c r="F23">
        <v>9</v>
      </c>
      <c r="G23">
        <v>13</v>
      </c>
    </row>
    <row r="24" spans="2:14">
      <c r="B24" t="s">
        <v>507</v>
      </c>
      <c r="C24" t="s">
        <v>506</v>
      </c>
      <c r="E24" t="s">
        <v>503</v>
      </c>
      <c r="F24">
        <v>89</v>
      </c>
      <c r="G24">
        <v>93</v>
      </c>
    </row>
    <row r="25" spans="2:14">
      <c r="B25" t="s">
        <v>507</v>
      </c>
      <c r="C25" t="s">
        <v>506</v>
      </c>
      <c r="E25" t="s">
        <v>498</v>
      </c>
      <c r="F25">
        <v>6</v>
      </c>
      <c r="G25">
        <v>5</v>
      </c>
    </row>
    <row r="26" spans="2:14">
      <c r="B26" t="s">
        <v>507</v>
      </c>
      <c r="C26" t="s">
        <v>506</v>
      </c>
      <c r="F26" s="3">
        <f>SUM(F22:F25)</f>
        <v>143</v>
      </c>
      <c r="G26" s="3">
        <f>SUM(G22:G25)</f>
        <v>141</v>
      </c>
      <c r="J26" s="1" t="s">
        <v>1211</v>
      </c>
      <c r="K26" s="1" t="s">
        <v>1212</v>
      </c>
      <c r="M26" s="6"/>
    </row>
    <row r="27" spans="2:14">
      <c r="B27" t="s">
        <v>507</v>
      </c>
      <c r="C27" t="s">
        <v>506</v>
      </c>
      <c r="I27" t="s">
        <v>954</v>
      </c>
      <c r="J27">
        <v>6</v>
      </c>
      <c r="K27">
        <v>5</v>
      </c>
      <c r="M27" s="6"/>
    </row>
    <row r="28" spans="2:14">
      <c r="B28" t="s">
        <v>507</v>
      </c>
      <c r="C28" t="s">
        <v>506</v>
      </c>
      <c r="I28" t="s">
        <v>957</v>
      </c>
      <c r="J28">
        <v>9</v>
      </c>
      <c r="K28">
        <v>13</v>
      </c>
      <c r="M28" s="6"/>
    </row>
    <row r="29" spans="2:14">
      <c r="B29" t="s">
        <v>507</v>
      </c>
      <c r="C29" t="s">
        <v>506</v>
      </c>
      <c r="I29" t="s">
        <v>956</v>
      </c>
      <c r="J29">
        <v>39</v>
      </c>
      <c r="K29">
        <v>30</v>
      </c>
      <c r="M29" s="6"/>
    </row>
    <row r="30" spans="2:14">
      <c r="B30" t="s">
        <v>507</v>
      </c>
      <c r="C30" t="s">
        <v>506</v>
      </c>
      <c r="I30" t="s">
        <v>503</v>
      </c>
      <c r="J30">
        <v>89</v>
      </c>
      <c r="K30">
        <f>6+39+12+6+30</f>
        <v>93</v>
      </c>
      <c r="M30" s="6"/>
    </row>
    <row r="31" spans="2:14">
      <c r="B31" t="s">
        <v>507</v>
      </c>
      <c r="C31" t="s">
        <v>506</v>
      </c>
      <c r="J31" s="3">
        <f>SUM(J27:J30)</f>
        <v>143</v>
      </c>
      <c r="K31" s="3">
        <f>SUM(K27:K30)</f>
        <v>141</v>
      </c>
    </row>
    <row r="32" spans="2:14">
      <c r="B32" t="s">
        <v>507</v>
      </c>
      <c r="C32" t="s">
        <v>506</v>
      </c>
      <c r="J32" s="3"/>
      <c r="M32" s="7"/>
      <c r="N32" s="8"/>
    </row>
    <row r="33" spans="2:10">
      <c r="B33" t="s">
        <v>507</v>
      </c>
      <c r="C33" t="s">
        <v>506</v>
      </c>
    </row>
    <row r="34" spans="2:10">
      <c r="B34" t="s">
        <v>507</v>
      </c>
      <c r="C34" t="s">
        <v>506</v>
      </c>
      <c r="J34" s="1">
        <v>2013</v>
      </c>
    </row>
    <row r="35" spans="2:10">
      <c r="B35" t="s">
        <v>507</v>
      </c>
      <c r="C35" t="s">
        <v>506</v>
      </c>
      <c r="I35" t="s">
        <v>503</v>
      </c>
      <c r="J35">
        <v>89</v>
      </c>
    </row>
    <row r="36" spans="2:10">
      <c r="B36" t="s">
        <v>507</v>
      </c>
      <c r="C36" t="s">
        <v>506</v>
      </c>
      <c r="I36" t="s">
        <v>956</v>
      </c>
      <c r="J36">
        <v>39</v>
      </c>
    </row>
    <row r="37" spans="2:10">
      <c r="B37" t="s">
        <v>507</v>
      </c>
      <c r="C37" t="s">
        <v>506</v>
      </c>
      <c r="I37" t="s">
        <v>957</v>
      </c>
      <c r="J37">
        <v>9</v>
      </c>
    </row>
    <row r="38" spans="2:10">
      <c r="B38" t="s">
        <v>507</v>
      </c>
      <c r="C38" t="s">
        <v>506</v>
      </c>
      <c r="I38" t="s">
        <v>1208</v>
      </c>
      <c r="J38">
        <v>2</v>
      </c>
    </row>
    <row r="39" spans="2:10">
      <c r="B39" t="s">
        <v>507</v>
      </c>
      <c r="C39" t="s">
        <v>506</v>
      </c>
      <c r="I39" t="s">
        <v>947</v>
      </c>
      <c r="J39">
        <v>2</v>
      </c>
    </row>
    <row r="40" spans="2:10">
      <c r="B40" t="s">
        <v>498</v>
      </c>
      <c r="C40" t="s">
        <v>506</v>
      </c>
      <c r="I40" t="s">
        <v>1209</v>
      </c>
      <c r="J40">
        <v>1</v>
      </c>
    </row>
    <row r="41" spans="2:10">
      <c r="B41" t="s">
        <v>498</v>
      </c>
      <c r="C41" t="s">
        <v>506</v>
      </c>
      <c r="I41" t="s">
        <v>1210</v>
      </c>
      <c r="J41">
        <v>1</v>
      </c>
    </row>
    <row r="42" spans="2:10">
      <c r="B42" t="s">
        <v>498</v>
      </c>
      <c r="C42" t="s">
        <v>506</v>
      </c>
      <c r="J42" s="3">
        <f>SUM(J35:J41)</f>
        <v>143</v>
      </c>
    </row>
    <row r="43" spans="2:10">
      <c r="B43" t="s">
        <v>511</v>
      </c>
      <c r="C43" t="s">
        <v>485</v>
      </c>
    </row>
    <row r="44" spans="2:10">
      <c r="B44" t="s">
        <v>511</v>
      </c>
      <c r="C44" t="s">
        <v>485</v>
      </c>
    </row>
    <row r="45" spans="2:10">
      <c r="B45" t="s">
        <v>511</v>
      </c>
      <c r="C45" t="s">
        <v>485</v>
      </c>
      <c r="J45" s="3"/>
    </row>
    <row r="46" spans="2:10">
      <c r="B46" t="s">
        <v>511</v>
      </c>
      <c r="C46" t="s">
        <v>485</v>
      </c>
    </row>
    <row r="47" spans="2:10">
      <c r="B47" t="s">
        <v>498</v>
      </c>
      <c r="C47" t="s">
        <v>485</v>
      </c>
    </row>
    <row r="48" spans="2:10">
      <c r="B48" t="s">
        <v>498</v>
      </c>
      <c r="C48" t="s">
        <v>485</v>
      </c>
    </row>
    <row r="49" spans="2:3">
      <c r="B49" t="s">
        <v>495</v>
      </c>
      <c r="C49" t="s">
        <v>485</v>
      </c>
    </row>
    <row r="50" spans="2:3">
      <c r="B50" t="s">
        <v>495</v>
      </c>
      <c r="C50" t="s">
        <v>485</v>
      </c>
    </row>
    <row r="51" spans="2:3">
      <c r="B51" t="s">
        <v>513</v>
      </c>
      <c r="C51" t="s">
        <v>485</v>
      </c>
    </row>
    <row r="52" spans="2:3">
      <c r="B52" t="s">
        <v>518</v>
      </c>
      <c r="C52" t="s">
        <v>503</v>
      </c>
    </row>
    <row r="53" spans="2:3">
      <c r="B53" t="s">
        <v>518</v>
      </c>
      <c r="C53" t="s">
        <v>503</v>
      </c>
    </row>
    <row r="54" spans="2:3">
      <c r="B54" t="s">
        <v>518</v>
      </c>
      <c r="C54" t="s">
        <v>503</v>
      </c>
    </row>
    <row r="55" spans="2:3">
      <c r="B55" t="s">
        <v>518</v>
      </c>
      <c r="C55" t="s">
        <v>503</v>
      </c>
    </row>
    <row r="56" spans="2:3">
      <c r="B56" t="s">
        <v>518</v>
      </c>
      <c r="C56" t="s">
        <v>503</v>
      </c>
    </row>
    <row r="57" spans="2:3">
      <c r="B57" t="s">
        <v>518</v>
      </c>
      <c r="C57" t="s">
        <v>503</v>
      </c>
    </row>
    <row r="58" spans="2:3">
      <c r="B58" t="s">
        <v>518</v>
      </c>
      <c r="C58" t="s">
        <v>503</v>
      </c>
    </row>
    <row r="59" spans="2:3">
      <c r="B59" t="s">
        <v>518</v>
      </c>
      <c r="C59" t="s">
        <v>503</v>
      </c>
    </row>
    <row r="60" spans="2:3">
      <c r="B60" t="s">
        <v>518</v>
      </c>
      <c r="C60" t="s">
        <v>503</v>
      </c>
    </row>
    <row r="61" spans="2:3">
      <c r="B61" t="s">
        <v>518</v>
      </c>
      <c r="C61" t="s">
        <v>503</v>
      </c>
    </row>
    <row r="62" spans="2:3">
      <c r="B62" t="s">
        <v>518</v>
      </c>
      <c r="C62" t="s">
        <v>503</v>
      </c>
    </row>
    <row r="63" spans="2:3">
      <c r="B63" t="s">
        <v>518</v>
      </c>
      <c r="C63" t="s">
        <v>503</v>
      </c>
    </row>
    <row r="64" spans="2:3">
      <c r="B64" t="s">
        <v>518</v>
      </c>
      <c r="C64" t="s">
        <v>503</v>
      </c>
    </row>
    <row r="65" spans="2:3">
      <c r="B65" t="s">
        <v>518</v>
      </c>
      <c r="C65" t="s">
        <v>503</v>
      </c>
    </row>
    <row r="66" spans="2:3">
      <c r="B66" t="s">
        <v>518</v>
      </c>
      <c r="C66" t="s">
        <v>503</v>
      </c>
    </row>
    <row r="67" spans="2:3">
      <c r="B67" t="s">
        <v>518</v>
      </c>
      <c r="C67" t="s">
        <v>503</v>
      </c>
    </row>
    <row r="68" spans="2:3">
      <c r="B68" t="s">
        <v>518</v>
      </c>
      <c r="C68" t="s">
        <v>503</v>
      </c>
    </row>
    <row r="69" spans="2:3">
      <c r="B69" t="s">
        <v>518</v>
      </c>
      <c r="C69" t="s">
        <v>503</v>
      </c>
    </row>
    <row r="70" spans="2:3">
      <c r="B70" t="s">
        <v>518</v>
      </c>
      <c r="C70" t="s">
        <v>503</v>
      </c>
    </row>
    <row r="71" spans="2:3">
      <c r="B71" t="s">
        <v>518</v>
      </c>
      <c r="C71" t="s">
        <v>503</v>
      </c>
    </row>
    <row r="72" spans="2:3">
      <c r="B72" t="s">
        <v>518</v>
      </c>
      <c r="C72" t="s">
        <v>503</v>
      </c>
    </row>
    <row r="73" spans="2:3">
      <c r="B73" t="s">
        <v>518</v>
      </c>
      <c r="C73" t="s">
        <v>503</v>
      </c>
    </row>
    <row r="74" spans="2:3">
      <c r="B74" t="s">
        <v>518</v>
      </c>
      <c r="C74" t="s">
        <v>503</v>
      </c>
    </row>
    <row r="75" spans="2:3">
      <c r="B75" t="s">
        <v>518</v>
      </c>
      <c r="C75" t="s">
        <v>503</v>
      </c>
    </row>
    <row r="76" spans="2:3">
      <c r="B76" t="s">
        <v>518</v>
      </c>
      <c r="C76" t="s">
        <v>503</v>
      </c>
    </row>
    <row r="77" spans="2:3">
      <c r="B77" t="s">
        <v>518</v>
      </c>
      <c r="C77" t="s">
        <v>503</v>
      </c>
    </row>
    <row r="78" spans="2:3">
      <c r="B78" t="s">
        <v>518</v>
      </c>
      <c r="C78" t="s">
        <v>503</v>
      </c>
    </row>
    <row r="79" spans="2:3">
      <c r="B79" t="s">
        <v>518</v>
      </c>
      <c r="C79" t="s">
        <v>503</v>
      </c>
    </row>
    <row r="80" spans="2:3">
      <c r="B80" t="s">
        <v>518</v>
      </c>
      <c r="C80" t="s">
        <v>503</v>
      </c>
    </row>
    <row r="81" spans="2:3">
      <c r="B81" t="s">
        <v>518</v>
      </c>
      <c r="C81" t="s">
        <v>503</v>
      </c>
    </row>
    <row r="82" spans="2:3">
      <c r="B82" t="s">
        <v>518</v>
      </c>
      <c r="C82" t="s">
        <v>503</v>
      </c>
    </row>
    <row r="83" spans="2:3">
      <c r="B83" t="s">
        <v>518</v>
      </c>
      <c r="C83" t="s">
        <v>503</v>
      </c>
    </row>
    <row r="84" spans="2:3">
      <c r="B84" t="s">
        <v>518</v>
      </c>
      <c r="C84" t="s">
        <v>503</v>
      </c>
    </row>
    <row r="85" spans="2:3">
      <c r="B85" t="s">
        <v>518</v>
      </c>
      <c r="C85" t="s">
        <v>503</v>
      </c>
    </row>
    <row r="86" spans="2:3">
      <c r="B86" t="s">
        <v>518</v>
      </c>
      <c r="C86" t="s">
        <v>503</v>
      </c>
    </row>
    <row r="87" spans="2:3">
      <c r="B87" t="s">
        <v>518</v>
      </c>
      <c r="C87" t="s">
        <v>503</v>
      </c>
    </row>
    <row r="88" spans="2:3">
      <c r="B88" t="s">
        <v>504</v>
      </c>
      <c r="C88" t="s">
        <v>503</v>
      </c>
    </row>
    <row r="89" spans="2:3">
      <c r="B89" t="s">
        <v>504</v>
      </c>
      <c r="C89" t="s">
        <v>503</v>
      </c>
    </row>
    <row r="90" spans="2:3">
      <c r="B90" t="s">
        <v>504</v>
      </c>
      <c r="C90" t="s">
        <v>503</v>
      </c>
    </row>
    <row r="91" spans="2:3">
      <c r="B91" t="s">
        <v>504</v>
      </c>
      <c r="C91" t="s">
        <v>503</v>
      </c>
    </row>
    <row r="92" spans="2:3">
      <c r="B92" t="s">
        <v>504</v>
      </c>
      <c r="C92" t="s">
        <v>503</v>
      </c>
    </row>
    <row r="93" spans="2:3">
      <c r="B93" t="s">
        <v>504</v>
      </c>
      <c r="C93" t="s">
        <v>503</v>
      </c>
    </row>
    <row r="94" spans="2:3">
      <c r="B94" t="s">
        <v>504</v>
      </c>
      <c r="C94" t="s">
        <v>503</v>
      </c>
    </row>
    <row r="95" spans="2:3">
      <c r="B95" t="s">
        <v>504</v>
      </c>
      <c r="C95" t="s">
        <v>503</v>
      </c>
    </row>
    <row r="96" spans="2:3">
      <c r="B96" t="s">
        <v>504</v>
      </c>
      <c r="C96" t="s">
        <v>503</v>
      </c>
    </row>
    <row r="97" spans="2:3">
      <c r="B97" t="s">
        <v>504</v>
      </c>
      <c r="C97" t="s">
        <v>503</v>
      </c>
    </row>
    <row r="98" spans="2:3">
      <c r="B98" t="s">
        <v>504</v>
      </c>
      <c r="C98" t="s">
        <v>503</v>
      </c>
    </row>
    <row r="99" spans="2:3">
      <c r="B99" t="s">
        <v>504</v>
      </c>
      <c r="C99" t="s">
        <v>503</v>
      </c>
    </row>
    <row r="100" spans="2:3">
      <c r="B100" t="s">
        <v>504</v>
      </c>
      <c r="C100" t="s">
        <v>503</v>
      </c>
    </row>
    <row r="101" spans="2:3">
      <c r="B101" t="s">
        <v>504</v>
      </c>
      <c r="C101" t="s">
        <v>503</v>
      </c>
    </row>
    <row r="102" spans="2:3">
      <c r="B102" t="s">
        <v>504</v>
      </c>
      <c r="C102" t="s">
        <v>503</v>
      </c>
    </row>
    <row r="103" spans="2:3">
      <c r="B103" t="s">
        <v>504</v>
      </c>
      <c r="C103" t="s">
        <v>503</v>
      </c>
    </row>
    <row r="104" spans="2:3">
      <c r="B104" t="s">
        <v>504</v>
      </c>
      <c r="C104" t="s">
        <v>503</v>
      </c>
    </row>
    <row r="105" spans="2:3">
      <c r="B105" t="s">
        <v>504</v>
      </c>
      <c r="C105" t="s">
        <v>503</v>
      </c>
    </row>
    <row r="106" spans="2:3">
      <c r="B106" t="s">
        <v>520</v>
      </c>
      <c r="C106" t="s">
        <v>503</v>
      </c>
    </row>
    <row r="107" spans="2:3">
      <c r="B107" t="s">
        <v>520</v>
      </c>
      <c r="C107" t="s">
        <v>503</v>
      </c>
    </row>
    <row r="108" spans="2:3">
      <c r="B108" t="s">
        <v>520</v>
      </c>
      <c r="C108" t="s">
        <v>503</v>
      </c>
    </row>
    <row r="109" spans="2:3">
      <c r="B109" t="s">
        <v>532</v>
      </c>
      <c r="C109" t="s">
        <v>503</v>
      </c>
    </row>
    <row r="110" spans="2:3">
      <c r="B110" t="s">
        <v>532</v>
      </c>
      <c r="C110" t="s">
        <v>503</v>
      </c>
    </row>
    <row r="111" spans="2:3">
      <c r="B111" t="s">
        <v>532</v>
      </c>
      <c r="C111" t="s">
        <v>503</v>
      </c>
    </row>
    <row r="112" spans="2:3">
      <c r="B112" t="s">
        <v>532</v>
      </c>
      <c r="C112" t="s">
        <v>503</v>
      </c>
    </row>
    <row r="113" spans="2:3">
      <c r="B113" t="s">
        <v>532</v>
      </c>
      <c r="C113" t="s">
        <v>503</v>
      </c>
    </row>
    <row r="114" spans="2:3">
      <c r="B114" t="s">
        <v>534</v>
      </c>
      <c r="C114" t="s">
        <v>503</v>
      </c>
    </row>
    <row r="115" spans="2:3">
      <c r="B115" t="s">
        <v>534</v>
      </c>
      <c r="C115" t="s">
        <v>503</v>
      </c>
    </row>
    <row r="116" spans="2:3">
      <c r="B116" t="s">
        <v>534</v>
      </c>
      <c r="C116" t="s">
        <v>503</v>
      </c>
    </row>
    <row r="117" spans="2:3">
      <c r="B117" t="s">
        <v>534</v>
      </c>
      <c r="C117" t="s">
        <v>503</v>
      </c>
    </row>
    <row r="118" spans="2:3">
      <c r="B118" t="s">
        <v>534</v>
      </c>
      <c r="C118" t="s">
        <v>503</v>
      </c>
    </row>
    <row r="119" spans="2:3">
      <c r="B119" t="s">
        <v>534</v>
      </c>
      <c r="C119" t="s">
        <v>503</v>
      </c>
    </row>
    <row r="120" spans="2:3">
      <c r="B120" t="s">
        <v>534</v>
      </c>
      <c r="C120" t="s">
        <v>503</v>
      </c>
    </row>
    <row r="121" spans="2:3">
      <c r="B121" t="s">
        <v>498</v>
      </c>
      <c r="C121" t="s">
        <v>503</v>
      </c>
    </row>
    <row r="122" spans="2:3">
      <c r="B122" t="s">
        <v>498</v>
      </c>
      <c r="C122" t="s">
        <v>503</v>
      </c>
    </row>
    <row r="123" spans="2:3">
      <c r="B123" t="s">
        <v>498</v>
      </c>
      <c r="C123" t="s">
        <v>503</v>
      </c>
    </row>
    <row r="124" spans="2:3">
      <c r="B124" t="s">
        <v>498</v>
      </c>
      <c r="C124" t="s">
        <v>503</v>
      </c>
    </row>
    <row r="125" spans="2:3">
      <c r="B125" t="s">
        <v>498</v>
      </c>
      <c r="C125" t="s">
        <v>503</v>
      </c>
    </row>
    <row r="126" spans="2:3">
      <c r="B126" t="s">
        <v>498</v>
      </c>
      <c r="C126" t="s">
        <v>503</v>
      </c>
    </row>
    <row r="127" spans="2:3">
      <c r="B127" t="s">
        <v>498</v>
      </c>
      <c r="C127" t="s">
        <v>503</v>
      </c>
    </row>
    <row r="128" spans="2:3">
      <c r="B128" t="s">
        <v>498</v>
      </c>
      <c r="C128" t="s">
        <v>503</v>
      </c>
    </row>
    <row r="129" spans="2:3">
      <c r="B129" t="s">
        <v>498</v>
      </c>
      <c r="C129" t="s">
        <v>503</v>
      </c>
    </row>
    <row r="130" spans="2:3">
      <c r="B130" t="s">
        <v>498</v>
      </c>
      <c r="C130" t="s">
        <v>503</v>
      </c>
    </row>
    <row r="131" spans="2:3">
      <c r="B131" t="s">
        <v>498</v>
      </c>
      <c r="C131" t="s">
        <v>503</v>
      </c>
    </row>
    <row r="132" spans="2:3">
      <c r="B132" t="s">
        <v>498</v>
      </c>
      <c r="C132" t="s">
        <v>503</v>
      </c>
    </row>
    <row r="133" spans="2:3">
      <c r="B133" t="s">
        <v>498</v>
      </c>
      <c r="C133" t="s">
        <v>503</v>
      </c>
    </row>
    <row r="134" spans="2:3">
      <c r="B134" t="s">
        <v>498</v>
      </c>
      <c r="C134" t="s">
        <v>503</v>
      </c>
    </row>
    <row r="135" spans="2:3">
      <c r="B135" t="s">
        <v>498</v>
      </c>
      <c r="C135" t="s">
        <v>503</v>
      </c>
    </row>
    <row r="136" spans="2:3">
      <c r="B136" t="s">
        <v>498</v>
      </c>
      <c r="C136" t="s">
        <v>503</v>
      </c>
    </row>
    <row r="137" spans="2:3">
      <c r="B137" t="s">
        <v>498</v>
      </c>
      <c r="C137" t="s">
        <v>503</v>
      </c>
    </row>
    <row r="138" spans="2:3">
      <c r="B138" t="s">
        <v>498</v>
      </c>
      <c r="C138" t="s">
        <v>503</v>
      </c>
    </row>
    <row r="139" spans="2:3">
      <c r="B139" t="s">
        <v>498</v>
      </c>
      <c r="C139" t="s">
        <v>503</v>
      </c>
    </row>
    <row r="140" spans="2:3">
      <c r="B140" t="s">
        <v>498</v>
      </c>
      <c r="C140" t="s">
        <v>503</v>
      </c>
    </row>
    <row r="141" spans="2:3">
      <c r="B141" t="s">
        <v>539</v>
      </c>
      <c r="C141" t="s">
        <v>941</v>
      </c>
    </row>
    <row r="142" spans="2:3">
      <c r="B142" t="s">
        <v>499</v>
      </c>
      <c r="C142" t="s">
        <v>941</v>
      </c>
    </row>
    <row r="143" spans="2:3">
      <c r="B143" t="s">
        <v>528</v>
      </c>
      <c r="C143" t="s">
        <v>941</v>
      </c>
    </row>
    <row r="144" spans="2:3">
      <c r="B144" t="s">
        <v>528</v>
      </c>
      <c r="C144" t="s">
        <v>941</v>
      </c>
    </row>
    <row r="145" spans="2:3">
      <c r="B145" t="s">
        <v>570</v>
      </c>
      <c r="C145" t="s">
        <v>941</v>
      </c>
    </row>
    <row r="146" spans="2:3">
      <c r="B146" t="s">
        <v>498</v>
      </c>
      <c r="C146" t="s">
        <v>941</v>
      </c>
    </row>
  </sheetData>
  <sortState ref="I25:K28">
    <sortCondition ref="J25:J28"/>
  </sortState>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I140"/>
  <sheetViews>
    <sheetView workbookViewId="0"/>
  </sheetViews>
  <sheetFormatPr defaultRowHeight="14.4"/>
  <cols>
    <col min="1" max="1" width="13.44140625" customWidth="1"/>
    <col min="3" max="3" width="10.88671875" customWidth="1"/>
    <col min="4" max="4" width="11" customWidth="1"/>
    <col min="5" max="5" width="17.88671875" customWidth="1"/>
    <col min="16" max="16" width="19.44140625" customWidth="1"/>
    <col min="17" max="17" width="18.5546875" customWidth="1"/>
  </cols>
  <sheetData>
    <row r="1" spans="1:9">
      <c r="A1" s="3" t="s">
        <v>1414</v>
      </c>
    </row>
    <row r="3" spans="1:9">
      <c r="A3" t="s">
        <v>974</v>
      </c>
      <c r="B3">
        <v>0</v>
      </c>
      <c r="E3" t="s">
        <v>1077</v>
      </c>
      <c r="F3" t="s">
        <v>1082</v>
      </c>
      <c r="I3" t="s">
        <v>1083</v>
      </c>
    </row>
    <row r="4" spans="1:9">
      <c r="A4" t="s">
        <v>974</v>
      </c>
      <c r="B4">
        <v>2</v>
      </c>
    </row>
    <row r="5" spans="1:9">
      <c r="A5" t="s">
        <v>974</v>
      </c>
      <c r="B5">
        <v>3</v>
      </c>
      <c r="E5" t="s">
        <v>1073</v>
      </c>
      <c r="F5">
        <v>36</v>
      </c>
    </row>
    <row r="6" spans="1:9">
      <c r="A6" t="s">
        <v>974</v>
      </c>
      <c r="B6">
        <v>5</v>
      </c>
      <c r="E6" t="s">
        <v>1068</v>
      </c>
      <c r="F6">
        <v>42</v>
      </c>
    </row>
    <row r="7" spans="1:9">
      <c r="A7" t="s">
        <v>974</v>
      </c>
      <c r="B7">
        <v>10</v>
      </c>
      <c r="E7" t="s">
        <v>1079</v>
      </c>
      <c r="F7">
        <v>44</v>
      </c>
    </row>
    <row r="8" spans="1:9">
      <c r="A8" t="s">
        <v>974</v>
      </c>
      <c r="B8">
        <v>10</v>
      </c>
      <c r="E8" t="s">
        <v>1076</v>
      </c>
      <c r="F8">
        <v>44</v>
      </c>
    </row>
    <row r="9" spans="1:9">
      <c r="A9" t="s">
        <v>974</v>
      </c>
      <c r="B9">
        <v>10</v>
      </c>
      <c r="E9" t="s">
        <v>1080</v>
      </c>
      <c r="F9">
        <v>42</v>
      </c>
    </row>
    <row r="10" spans="1:9">
      <c r="A10" t="s">
        <v>974</v>
      </c>
      <c r="B10">
        <v>10</v>
      </c>
    </row>
    <row r="11" spans="1:9">
      <c r="A11" t="s">
        <v>974</v>
      </c>
      <c r="B11">
        <v>10</v>
      </c>
    </row>
    <row r="12" spans="1:9">
      <c r="A12" t="s">
        <v>974</v>
      </c>
      <c r="B12">
        <v>10</v>
      </c>
    </row>
    <row r="13" spans="1:9">
      <c r="A13" t="s">
        <v>974</v>
      </c>
      <c r="B13">
        <v>10</v>
      </c>
    </row>
    <row r="14" spans="1:9">
      <c r="A14" t="s">
        <v>974</v>
      </c>
      <c r="B14">
        <v>10</v>
      </c>
    </row>
    <row r="15" spans="1:9">
      <c r="A15" t="s">
        <v>974</v>
      </c>
      <c r="B15">
        <v>10</v>
      </c>
    </row>
    <row r="16" spans="1:9">
      <c r="A16" t="s">
        <v>974</v>
      </c>
      <c r="B16">
        <v>10</v>
      </c>
    </row>
    <row r="17" spans="1:8">
      <c r="A17" t="s">
        <v>974</v>
      </c>
      <c r="B17">
        <v>10</v>
      </c>
    </row>
    <row r="18" spans="1:8">
      <c r="A18" t="s">
        <v>974</v>
      </c>
      <c r="B18">
        <v>10</v>
      </c>
    </row>
    <row r="19" spans="1:8">
      <c r="A19" t="s">
        <v>974</v>
      </c>
      <c r="B19">
        <v>12</v>
      </c>
    </row>
    <row r="20" spans="1:8">
      <c r="A20" t="s">
        <v>974</v>
      </c>
      <c r="B20">
        <v>15</v>
      </c>
    </row>
    <row r="21" spans="1:8">
      <c r="A21" t="s">
        <v>974</v>
      </c>
      <c r="B21">
        <v>20</v>
      </c>
    </row>
    <row r="22" spans="1:8">
      <c r="A22" t="s">
        <v>974</v>
      </c>
      <c r="B22">
        <v>25</v>
      </c>
    </row>
    <row r="23" spans="1:8">
      <c r="A23" t="s">
        <v>974</v>
      </c>
      <c r="B23">
        <v>25</v>
      </c>
      <c r="F23" t="s">
        <v>1239</v>
      </c>
      <c r="G23" t="s">
        <v>1240</v>
      </c>
      <c r="H23" t="s">
        <v>1241</v>
      </c>
    </row>
    <row r="24" spans="1:8">
      <c r="A24" t="s">
        <v>974</v>
      </c>
      <c r="B24">
        <v>35</v>
      </c>
      <c r="E24" t="s">
        <v>1080</v>
      </c>
      <c r="F24">
        <v>28</v>
      </c>
      <c r="G24">
        <v>42</v>
      </c>
      <c r="H24">
        <f>100-F24-G24</f>
        <v>30</v>
      </c>
    </row>
    <row r="25" spans="1:8">
      <c r="A25" t="s">
        <v>974</v>
      </c>
      <c r="B25">
        <v>40</v>
      </c>
      <c r="E25" t="s">
        <v>1076</v>
      </c>
      <c r="F25">
        <v>45</v>
      </c>
      <c r="G25">
        <v>44</v>
      </c>
      <c r="H25">
        <f>100-F25-G25</f>
        <v>11</v>
      </c>
    </row>
    <row r="26" spans="1:8">
      <c r="A26" t="s">
        <v>974</v>
      </c>
      <c r="B26">
        <v>50</v>
      </c>
      <c r="E26" t="s">
        <v>1079</v>
      </c>
      <c r="F26">
        <v>36</v>
      </c>
      <c r="G26">
        <v>44</v>
      </c>
      <c r="H26">
        <f>100-F26-G26</f>
        <v>20</v>
      </c>
    </row>
    <row r="27" spans="1:8">
      <c r="A27" t="s">
        <v>974</v>
      </c>
      <c r="B27">
        <v>70</v>
      </c>
      <c r="E27" t="s">
        <v>1068</v>
      </c>
      <c r="F27">
        <v>18</v>
      </c>
      <c r="G27">
        <v>42</v>
      </c>
      <c r="H27">
        <f>100-F27-G27</f>
        <v>40</v>
      </c>
    </row>
    <row r="28" spans="1:8">
      <c r="A28" t="s">
        <v>974</v>
      </c>
      <c r="B28">
        <v>75</v>
      </c>
      <c r="E28" t="s">
        <v>1073</v>
      </c>
      <c r="F28">
        <v>8</v>
      </c>
      <c r="G28">
        <v>36</v>
      </c>
      <c r="H28">
        <f>100-F28-G28</f>
        <v>56</v>
      </c>
    </row>
    <row r="29" spans="1:8">
      <c r="A29" t="s">
        <v>974</v>
      </c>
      <c r="B29">
        <v>80</v>
      </c>
    </row>
    <row r="30" spans="1:8">
      <c r="A30" t="s">
        <v>974</v>
      </c>
      <c r="B30">
        <v>80</v>
      </c>
    </row>
    <row r="31" spans="1:8">
      <c r="A31" t="s">
        <v>974</v>
      </c>
      <c r="B31">
        <v>90</v>
      </c>
    </row>
    <row r="32" spans="1:8">
      <c r="A32" t="s">
        <v>974</v>
      </c>
      <c r="B32">
        <v>90</v>
      </c>
    </row>
    <row r="33" spans="1:3">
      <c r="A33" t="s">
        <v>974</v>
      </c>
      <c r="B33">
        <v>90</v>
      </c>
    </row>
    <row r="34" spans="1:3">
      <c r="A34" t="s">
        <v>974</v>
      </c>
      <c r="B34">
        <v>90</v>
      </c>
    </row>
    <row r="35" spans="1:3">
      <c r="A35" t="s">
        <v>974</v>
      </c>
      <c r="B35">
        <v>98</v>
      </c>
    </row>
    <row r="36" spans="1:3">
      <c r="A36" t="s">
        <v>974</v>
      </c>
      <c r="B36">
        <v>99</v>
      </c>
    </row>
    <row r="37" spans="1:3">
      <c r="C37" s="15">
        <f>(SUM(B3:B36)/34)</f>
        <v>35.705882352941174</v>
      </c>
    </row>
    <row r="39" spans="1:3">
      <c r="A39" t="s">
        <v>973</v>
      </c>
      <c r="B39">
        <v>15</v>
      </c>
    </row>
    <row r="40" spans="1:3">
      <c r="A40" t="s">
        <v>973</v>
      </c>
      <c r="B40">
        <v>15</v>
      </c>
    </row>
    <row r="41" spans="1:3">
      <c r="A41" t="s">
        <v>973</v>
      </c>
      <c r="B41">
        <v>20</v>
      </c>
    </row>
    <row r="42" spans="1:3">
      <c r="A42" t="s">
        <v>973</v>
      </c>
      <c r="B42">
        <v>20</v>
      </c>
    </row>
    <row r="43" spans="1:3">
      <c r="A43" t="s">
        <v>973</v>
      </c>
      <c r="B43">
        <v>40</v>
      </c>
    </row>
    <row r="44" spans="1:3">
      <c r="A44" t="s">
        <v>973</v>
      </c>
      <c r="B44">
        <v>50</v>
      </c>
    </row>
    <row r="45" spans="1:3">
      <c r="A45" t="s">
        <v>973</v>
      </c>
      <c r="B45">
        <v>85</v>
      </c>
    </row>
    <row r="46" spans="1:3">
      <c r="A46" t="s">
        <v>973</v>
      </c>
      <c r="B46">
        <v>90</v>
      </c>
    </row>
    <row r="47" spans="1:3">
      <c r="C47" s="15">
        <f>(SUM(B39:B46)/8)</f>
        <v>41.875</v>
      </c>
    </row>
    <row r="49" spans="1:2">
      <c r="A49" t="s">
        <v>972</v>
      </c>
      <c r="B49">
        <v>0</v>
      </c>
    </row>
    <row r="50" spans="1:2">
      <c r="A50" t="s">
        <v>972</v>
      </c>
      <c r="B50">
        <v>0</v>
      </c>
    </row>
    <row r="51" spans="1:2">
      <c r="A51" t="s">
        <v>972</v>
      </c>
      <c r="B51">
        <v>1</v>
      </c>
    </row>
    <row r="52" spans="1:2">
      <c r="A52" t="s">
        <v>972</v>
      </c>
      <c r="B52">
        <v>2</v>
      </c>
    </row>
    <row r="53" spans="1:2">
      <c r="A53" t="s">
        <v>972</v>
      </c>
      <c r="B53">
        <v>5</v>
      </c>
    </row>
    <row r="54" spans="1:2">
      <c r="A54" t="s">
        <v>972</v>
      </c>
      <c r="B54">
        <v>5</v>
      </c>
    </row>
    <row r="55" spans="1:2">
      <c r="A55" t="s">
        <v>972</v>
      </c>
      <c r="B55">
        <v>5</v>
      </c>
    </row>
    <row r="56" spans="1:2">
      <c r="A56" t="s">
        <v>972</v>
      </c>
      <c r="B56">
        <v>5</v>
      </c>
    </row>
    <row r="57" spans="1:2">
      <c r="A57" t="s">
        <v>972</v>
      </c>
      <c r="B57">
        <v>5</v>
      </c>
    </row>
    <row r="58" spans="1:2">
      <c r="A58" t="s">
        <v>972</v>
      </c>
      <c r="B58">
        <v>8</v>
      </c>
    </row>
    <row r="59" spans="1:2">
      <c r="A59" t="s">
        <v>972</v>
      </c>
      <c r="B59">
        <v>10</v>
      </c>
    </row>
    <row r="60" spans="1:2">
      <c r="A60" t="s">
        <v>972</v>
      </c>
      <c r="B60">
        <v>10</v>
      </c>
    </row>
    <row r="61" spans="1:2">
      <c r="A61" t="s">
        <v>972</v>
      </c>
      <c r="B61">
        <v>10</v>
      </c>
    </row>
    <row r="62" spans="1:2">
      <c r="A62" t="s">
        <v>972</v>
      </c>
      <c r="B62">
        <v>10</v>
      </c>
    </row>
    <row r="63" spans="1:2">
      <c r="A63" t="s">
        <v>972</v>
      </c>
      <c r="B63">
        <v>10</v>
      </c>
    </row>
    <row r="64" spans="1:2">
      <c r="A64" t="s">
        <v>972</v>
      </c>
      <c r="B64">
        <v>10</v>
      </c>
    </row>
    <row r="65" spans="1:2">
      <c r="A65" t="s">
        <v>972</v>
      </c>
      <c r="B65">
        <v>10</v>
      </c>
    </row>
    <row r="66" spans="1:2">
      <c r="A66" t="s">
        <v>972</v>
      </c>
      <c r="B66">
        <v>10</v>
      </c>
    </row>
    <row r="67" spans="1:2">
      <c r="A67" t="s">
        <v>972</v>
      </c>
      <c r="B67">
        <v>10</v>
      </c>
    </row>
    <row r="68" spans="1:2">
      <c r="A68" t="s">
        <v>972</v>
      </c>
      <c r="B68">
        <v>10</v>
      </c>
    </row>
    <row r="69" spans="1:2">
      <c r="A69" t="s">
        <v>972</v>
      </c>
      <c r="B69">
        <v>15</v>
      </c>
    </row>
    <row r="70" spans="1:2">
      <c r="A70" t="s">
        <v>972</v>
      </c>
      <c r="B70">
        <v>15</v>
      </c>
    </row>
    <row r="71" spans="1:2">
      <c r="A71" t="s">
        <v>972</v>
      </c>
      <c r="B71">
        <v>15</v>
      </c>
    </row>
    <row r="72" spans="1:2">
      <c r="A72" t="s">
        <v>972</v>
      </c>
      <c r="B72">
        <v>20</v>
      </c>
    </row>
    <row r="73" spans="1:2">
      <c r="A73" t="s">
        <v>972</v>
      </c>
      <c r="B73">
        <v>20</v>
      </c>
    </row>
    <row r="74" spans="1:2">
      <c r="A74" t="s">
        <v>972</v>
      </c>
      <c r="B74">
        <v>20</v>
      </c>
    </row>
    <row r="75" spans="1:2">
      <c r="A75" t="s">
        <v>972</v>
      </c>
      <c r="B75">
        <v>20</v>
      </c>
    </row>
    <row r="76" spans="1:2">
      <c r="A76" t="s">
        <v>972</v>
      </c>
      <c r="B76">
        <v>20</v>
      </c>
    </row>
    <row r="77" spans="1:2">
      <c r="A77" t="s">
        <v>972</v>
      </c>
      <c r="B77">
        <v>22</v>
      </c>
    </row>
    <row r="78" spans="1:2">
      <c r="A78" t="s">
        <v>972</v>
      </c>
      <c r="B78">
        <v>25</v>
      </c>
    </row>
    <row r="79" spans="1:2">
      <c r="A79" t="s">
        <v>972</v>
      </c>
      <c r="B79">
        <v>25</v>
      </c>
    </row>
    <row r="80" spans="1:2">
      <c r="A80" t="s">
        <v>972</v>
      </c>
      <c r="B80">
        <v>25</v>
      </c>
    </row>
    <row r="81" spans="1:2">
      <c r="A81" t="s">
        <v>972</v>
      </c>
      <c r="B81">
        <v>25</v>
      </c>
    </row>
    <row r="82" spans="1:2">
      <c r="A82" t="s">
        <v>972</v>
      </c>
      <c r="B82">
        <v>30</v>
      </c>
    </row>
    <row r="83" spans="1:2">
      <c r="A83" t="s">
        <v>972</v>
      </c>
      <c r="B83">
        <v>30</v>
      </c>
    </row>
    <row r="84" spans="1:2">
      <c r="A84" t="s">
        <v>972</v>
      </c>
      <c r="B84">
        <v>30</v>
      </c>
    </row>
    <row r="85" spans="1:2">
      <c r="A85" t="s">
        <v>972</v>
      </c>
      <c r="B85">
        <v>30</v>
      </c>
    </row>
    <row r="86" spans="1:2">
      <c r="A86" t="s">
        <v>972</v>
      </c>
      <c r="B86">
        <v>35</v>
      </c>
    </row>
    <row r="87" spans="1:2">
      <c r="A87" t="s">
        <v>972</v>
      </c>
      <c r="B87">
        <v>40</v>
      </c>
    </row>
    <row r="88" spans="1:2">
      <c r="A88" t="s">
        <v>972</v>
      </c>
      <c r="B88">
        <v>40</v>
      </c>
    </row>
    <row r="89" spans="1:2">
      <c r="A89" t="s">
        <v>972</v>
      </c>
      <c r="B89">
        <v>40</v>
      </c>
    </row>
    <row r="90" spans="1:2">
      <c r="A90" t="s">
        <v>972</v>
      </c>
      <c r="B90">
        <v>40</v>
      </c>
    </row>
    <row r="91" spans="1:2">
      <c r="A91" t="s">
        <v>972</v>
      </c>
      <c r="B91">
        <v>40</v>
      </c>
    </row>
    <row r="92" spans="1:2">
      <c r="A92" t="s">
        <v>972</v>
      </c>
      <c r="B92">
        <v>40</v>
      </c>
    </row>
    <row r="93" spans="1:2">
      <c r="A93" t="s">
        <v>972</v>
      </c>
      <c r="B93">
        <v>40</v>
      </c>
    </row>
    <row r="94" spans="1:2">
      <c r="A94" t="s">
        <v>972</v>
      </c>
      <c r="B94">
        <v>50</v>
      </c>
    </row>
    <row r="95" spans="1:2">
      <c r="A95" t="s">
        <v>972</v>
      </c>
      <c r="B95">
        <v>50</v>
      </c>
    </row>
    <row r="96" spans="1:2">
      <c r="A96" t="s">
        <v>972</v>
      </c>
      <c r="B96">
        <v>50</v>
      </c>
    </row>
    <row r="97" spans="1:2">
      <c r="A97" t="s">
        <v>972</v>
      </c>
      <c r="B97">
        <v>50</v>
      </c>
    </row>
    <row r="98" spans="1:2">
      <c r="A98" t="s">
        <v>972</v>
      </c>
      <c r="B98">
        <v>55</v>
      </c>
    </row>
    <row r="99" spans="1:2">
      <c r="A99" t="s">
        <v>972</v>
      </c>
      <c r="B99">
        <v>60</v>
      </c>
    </row>
    <row r="100" spans="1:2">
      <c r="A100" t="s">
        <v>972</v>
      </c>
      <c r="B100">
        <v>60</v>
      </c>
    </row>
    <row r="101" spans="1:2">
      <c r="A101" t="s">
        <v>972</v>
      </c>
      <c r="B101">
        <v>60</v>
      </c>
    </row>
    <row r="102" spans="1:2">
      <c r="A102" t="s">
        <v>972</v>
      </c>
      <c r="B102">
        <v>60</v>
      </c>
    </row>
    <row r="103" spans="1:2">
      <c r="A103" t="s">
        <v>972</v>
      </c>
      <c r="B103">
        <v>60</v>
      </c>
    </row>
    <row r="104" spans="1:2">
      <c r="A104" t="s">
        <v>972</v>
      </c>
      <c r="B104">
        <v>60</v>
      </c>
    </row>
    <row r="105" spans="1:2">
      <c r="A105" t="s">
        <v>972</v>
      </c>
      <c r="B105">
        <v>65</v>
      </c>
    </row>
    <row r="106" spans="1:2">
      <c r="A106" t="s">
        <v>972</v>
      </c>
      <c r="B106">
        <v>65</v>
      </c>
    </row>
    <row r="107" spans="1:2">
      <c r="A107" t="s">
        <v>972</v>
      </c>
      <c r="B107">
        <v>65</v>
      </c>
    </row>
    <row r="108" spans="1:2">
      <c r="A108" t="s">
        <v>972</v>
      </c>
      <c r="B108">
        <v>70</v>
      </c>
    </row>
    <row r="109" spans="1:2">
      <c r="A109" t="s">
        <v>972</v>
      </c>
      <c r="B109">
        <v>70</v>
      </c>
    </row>
    <row r="110" spans="1:2">
      <c r="A110" t="s">
        <v>972</v>
      </c>
      <c r="B110">
        <v>70</v>
      </c>
    </row>
    <row r="111" spans="1:2">
      <c r="A111" t="s">
        <v>972</v>
      </c>
      <c r="B111">
        <v>70</v>
      </c>
    </row>
    <row r="112" spans="1:2">
      <c r="A112" t="s">
        <v>972</v>
      </c>
      <c r="B112">
        <v>70</v>
      </c>
    </row>
    <row r="113" spans="1:2">
      <c r="A113" t="s">
        <v>972</v>
      </c>
      <c r="B113">
        <v>75</v>
      </c>
    </row>
    <row r="114" spans="1:2">
      <c r="A114" t="s">
        <v>972</v>
      </c>
      <c r="B114">
        <v>80</v>
      </c>
    </row>
    <row r="115" spans="1:2">
      <c r="A115" t="s">
        <v>972</v>
      </c>
      <c r="B115">
        <v>80</v>
      </c>
    </row>
    <row r="116" spans="1:2">
      <c r="A116" t="s">
        <v>972</v>
      </c>
      <c r="B116">
        <v>80</v>
      </c>
    </row>
    <row r="117" spans="1:2">
      <c r="A117" t="s">
        <v>972</v>
      </c>
      <c r="B117">
        <v>80</v>
      </c>
    </row>
    <row r="118" spans="1:2">
      <c r="A118" t="s">
        <v>972</v>
      </c>
      <c r="B118">
        <v>85</v>
      </c>
    </row>
    <row r="119" spans="1:2">
      <c r="A119" t="s">
        <v>972</v>
      </c>
      <c r="B119">
        <v>85</v>
      </c>
    </row>
    <row r="120" spans="1:2">
      <c r="A120" t="s">
        <v>972</v>
      </c>
      <c r="B120">
        <v>90</v>
      </c>
    </row>
    <row r="121" spans="1:2">
      <c r="A121" t="s">
        <v>972</v>
      </c>
      <c r="B121">
        <v>90</v>
      </c>
    </row>
    <row r="122" spans="1:2">
      <c r="A122" t="s">
        <v>972</v>
      </c>
      <c r="B122">
        <v>90</v>
      </c>
    </row>
    <row r="123" spans="1:2">
      <c r="A123" t="s">
        <v>972</v>
      </c>
      <c r="B123">
        <v>90</v>
      </c>
    </row>
    <row r="124" spans="1:2">
      <c r="A124" t="s">
        <v>972</v>
      </c>
      <c r="B124">
        <v>95</v>
      </c>
    </row>
    <row r="125" spans="1:2">
      <c r="A125" t="s">
        <v>972</v>
      </c>
      <c r="B125">
        <v>95</v>
      </c>
    </row>
    <row r="126" spans="1:2">
      <c r="A126" t="s">
        <v>972</v>
      </c>
      <c r="B126">
        <v>95</v>
      </c>
    </row>
    <row r="127" spans="1:2">
      <c r="A127" t="s">
        <v>972</v>
      </c>
      <c r="B127">
        <v>98</v>
      </c>
    </row>
    <row r="128" spans="1:2">
      <c r="A128" t="s">
        <v>972</v>
      </c>
      <c r="B128">
        <v>100</v>
      </c>
    </row>
    <row r="129" spans="1:3">
      <c r="A129" t="s">
        <v>972</v>
      </c>
      <c r="B129">
        <v>100</v>
      </c>
    </row>
    <row r="130" spans="1:3">
      <c r="A130" t="s">
        <v>972</v>
      </c>
      <c r="B130">
        <v>100</v>
      </c>
    </row>
    <row r="131" spans="1:3">
      <c r="C131" s="15">
        <f>(SUM(B49:B130)/82)</f>
        <v>43.975609756097562</v>
      </c>
    </row>
    <row r="133" spans="1:3">
      <c r="A133" t="s">
        <v>954</v>
      </c>
      <c r="B133">
        <v>10</v>
      </c>
    </row>
    <row r="134" spans="1:3">
      <c r="A134" t="s">
        <v>954</v>
      </c>
      <c r="B134">
        <v>20</v>
      </c>
    </row>
    <row r="135" spans="1:3">
      <c r="A135" t="s">
        <v>954</v>
      </c>
      <c r="B135">
        <v>30</v>
      </c>
    </row>
    <row r="136" spans="1:3">
      <c r="A136" t="s">
        <v>954</v>
      </c>
      <c r="B136">
        <v>65</v>
      </c>
    </row>
    <row r="137" spans="1:3">
      <c r="A137" t="s">
        <v>954</v>
      </c>
      <c r="B137">
        <v>95</v>
      </c>
    </row>
    <row r="138" spans="1:3">
      <c r="C138" s="15">
        <f>(SUM(B133:B137)/5)</f>
        <v>44</v>
      </c>
    </row>
    <row r="140" spans="1:3">
      <c r="B140" s="15">
        <f>(SUM(B3:B139)/129)</f>
        <v>41.666666666666664</v>
      </c>
    </row>
  </sheetData>
  <sortState ref="A3:B131">
    <sortCondition ref="A3:A131"/>
  </sortState>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BI50"/>
  <sheetViews>
    <sheetView workbookViewId="0"/>
  </sheetViews>
  <sheetFormatPr defaultRowHeight="14.4"/>
  <cols>
    <col min="1" max="1" width="18.6640625" customWidth="1"/>
    <col min="2" max="2" width="12.6640625" customWidth="1"/>
  </cols>
  <sheetData>
    <row r="1" spans="1:61">
      <c r="A1" s="3" t="s">
        <v>1414</v>
      </c>
    </row>
    <row r="2" spans="1:61">
      <c r="A2" t="s">
        <v>1356</v>
      </c>
    </row>
    <row r="3" spans="1:61">
      <c r="A3" t="s">
        <v>1292</v>
      </c>
    </row>
    <row r="5" spans="1:61">
      <c r="A5" t="s">
        <v>1285</v>
      </c>
    </row>
    <row r="6" spans="1:61">
      <c r="B6" t="s">
        <v>157</v>
      </c>
      <c r="C6" t="s">
        <v>158</v>
      </c>
      <c r="D6" t="s">
        <v>159</v>
      </c>
      <c r="E6" t="s">
        <v>160</v>
      </c>
      <c r="F6" t="s">
        <v>161</v>
      </c>
      <c r="G6" t="s">
        <v>162</v>
      </c>
      <c r="H6" t="s">
        <v>163</v>
      </c>
      <c r="I6" t="s">
        <v>164</v>
      </c>
      <c r="J6" t="s">
        <v>165</v>
      </c>
      <c r="K6" t="s">
        <v>166</v>
      </c>
      <c r="L6" t="s">
        <v>167</v>
      </c>
      <c r="M6" t="s">
        <v>168</v>
      </c>
      <c r="N6" t="s">
        <v>169</v>
      </c>
      <c r="O6" t="s">
        <v>170</v>
      </c>
      <c r="P6" t="s">
        <v>171</v>
      </c>
      <c r="Q6" t="s">
        <v>172</v>
      </c>
      <c r="R6" t="s">
        <v>173</v>
      </c>
      <c r="S6" t="s">
        <v>174</v>
      </c>
      <c r="T6" t="s">
        <v>175</v>
      </c>
      <c r="U6" t="s">
        <v>176</v>
      </c>
      <c r="V6" t="s">
        <v>177</v>
      </c>
      <c r="W6" t="s">
        <v>178</v>
      </c>
      <c r="X6" t="s">
        <v>179</v>
      </c>
      <c r="Y6" t="s">
        <v>180</v>
      </c>
      <c r="Z6" t="s">
        <v>181</v>
      </c>
      <c r="AA6" t="s">
        <v>182</v>
      </c>
      <c r="AB6" t="s">
        <v>183</v>
      </c>
      <c r="AC6" t="s">
        <v>184</v>
      </c>
      <c r="AD6" t="s">
        <v>185</v>
      </c>
      <c r="AE6" t="s">
        <v>186</v>
      </c>
      <c r="AF6" t="s">
        <v>187</v>
      </c>
      <c r="AG6" t="s">
        <v>188</v>
      </c>
      <c r="AH6" t="s">
        <v>189</v>
      </c>
      <c r="AI6" t="s">
        <v>190</v>
      </c>
      <c r="AJ6" t="s">
        <v>191</v>
      </c>
      <c r="AK6" t="s">
        <v>192</v>
      </c>
      <c r="AL6" t="s">
        <v>193</v>
      </c>
      <c r="AM6" t="s">
        <v>194</v>
      </c>
      <c r="AN6" t="s">
        <v>195</v>
      </c>
      <c r="AO6" t="s">
        <v>196</v>
      </c>
      <c r="AP6" t="s">
        <v>197</v>
      </c>
      <c r="AQ6" t="s">
        <v>198</v>
      </c>
      <c r="AR6" t="s">
        <v>199</v>
      </c>
      <c r="AS6" t="s">
        <v>200</v>
      </c>
      <c r="AT6" t="s">
        <v>201</v>
      </c>
      <c r="AU6" t="s">
        <v>202</v>
      </c>
      <c r="AV6" t="s">
        <v>203</v>
      </c>
      <c r="AW6" t="s">
        <v>204</v>
      </c>
      <c r="AX6" t="s">
        <v>205</v>
      </c>
      <c r="AY6" t="s">
        <v>206</v>
      </c>
      <c r="AZ6" t="s">
        <v>207</v>
      </c>
      <c r="BA6" t="s">
        <v>208</v>
      </c>
      <c r="BB6" t="s">
        <v>209</v>
      </c>
      <c r="BC6" t="s">
        <v>210</v>
      </c>
      <c r="BD6" t="s">
        <v>211</v>
      </c>
      <c r="BE6" t="s">
        <v>212</v>
      </c>
      <c r="BF6" t="s">
        <v>213</v>
      </c>
      <c r="BG6" t="s">
        <v>214</v>
      </c>
      <c r="BH6" t="s">
        <v>215</v>
      </c>
      <c r="BI6" t="s">
        <v>216</v>
      </c>
    </row>
    <row r="7" spans="1:61">
      <c r="B7" t="s">
        <v>1358</v>
      </c>
      <c r="C7" t="s">
        <v>716</v>
      </c>
      <c r="D7" t="s">
        <v>1359</v>
      </c>
      <c r="E7" t="s">
        <v>718</v>
      </c>
      <c r="F7" t="s">
        <v>719</v>
      </c>
      <c r="G7" t="s">
        <v>720</v>
      </c>
      <c r="H7" t="s">
        <v>721</v>
      </c>
      <c r="I7" t="s">
        <v>722</v>
      </c>
      <c r="J7" t="s">
        <v>723</v>
      </c>
      <c r="K7" t="s">
        <v>724</v>
      </c>
      <c r="L7" t="s">
        <v>725</v>
      </c>
      <c r="M7" t="s">
        <v>726</v>
      </c>
      <c r="N7" t="s">
        <v>727</v>
      </c>
      <c r="O7" t="s">
        <v>728</v>
      </c>
      <c r="P7" t="s">
        <v>729</v>
      </c>
      <c r="Q7" t="s">
        <v>730</v>
      </c>
      <c r="R7" t="s">
        <v>731</v>
      </c>
      <c r="S7" t="s">
        <v>732</v>
      </c>
      <c r="T7" t="s">
        <v>733</v>
      </c>
      <c r="U7" t="s">
        <v>734</v>
      </c>
      <c r="V7" t="s">
        <v>735</v>
      </c>
      <c r="W7" t="s">
        <v>736</v>
      </c>
      <c r="X7" t="s">
        <v>720</v>
      </c>
      <c r="Y7" t="s">
        <v>722</v>
      </c>
      <c r="Z7" t="s">
        <v>724</v>
      </c>
      <c r="AA7" t="s">
        <v>726</v>
      </c>
      <c r="AB7" t="s">
        <v>737</v>
      </c>
      <c r="AC7" t="s">
        <v>730</v>
      </c>
      <c r="AD7" t="s">
        <v>738</v>
      </c>
      <c r="AE7" t="s">
        <v>734</v>
      </c>
      <c r="AF7" t="s">
        <v>739</v>
      </c>
      <c r="AG7" t="s">
        <v>739</v>
      </c>
      <c r="AH7" t="s">
        <v>739</v>
      </c>
      <c r="AI7" t="s">
        <v>740</v>
      </c>
      <c r="AJ7" t="s">
        <v>740</v>
      </c>
      <c r="AK7" t="s">
        <v>740</v>
      </c>
      <c r="AL7" t="s">
        <v>741</v>
      </c>
      <c r="AM7" t="s">
        <v>741</v>
      </c>
      <c r="AN7" t="s">
        <v>741</v>
      </c>
      <c r="AO7" t="s">
        <v>742</v>
      </c>
      <c r="AP7" t="s">
        <v>742</v>
      </c>
      <c r="AQ7" t="s">
        <v>742</v>
      </c>
      <c r="AR7" t="s">
        <v>743</v>
      </c>
      <c r="AS7" t="s">
        <v>743</v>
      </c>
      <c r="AT7" t="s">
        <v>743</v>
      </c>
      <c r="AU7" t="s">
        <v>744</v>
      </c>
      <c r="AV7" t="s">
        <v>744</v>
      </c>
      <c r="AW7" t="s">
        <v>744</v>
      </c>
      <c r="AX7" t="s">
        <v>745</v>
      </c>
      <c r="AY7" t="s">
        <v>745</v>
      </c>
      <c r="AZ7" t="s">
        <v>745</v>
      </c>
      <c r="BA7" t="s">
        <v>746</v>
      </c>
      <c r="BB7" t="s">
        <v>746</v>
      </c>
      <c r="BC7" t="s">
        <v>746</v>
      </c>
      <c r="BD7" t="s">
        <v>747</v>
      </c>
      <c r="BE7" t="s">
        <v>747</v>
      </c>
      <c r="BF7" t="s">
        <v>747</v>
      </c>
      <c r="BG7" t="s">
        <v>748</v>
      </c>
      <c r="BH7" t="s">
        <v>748</v>
      </c>
      <c r="BI7" t="s">
        <v>748</v>
      </c>
    </row>
    <row r="8" spans="1:61">
      <c r="A8" t="s">
        <v>972</v>
      </c>
      <c r="B8">
        <v>0</v>
      </c>
      <c r="D8">
        <v>300</v>
      </c>
      <c r="J8">
        <v>1000</v>
      </c>
      <c r="L8">
        <v>0</v>
      </c>
      <c r="P8">
        <v>0</v>
      </c>
      <c r="AF8">
        <v>0</v>
      </c>
      <c r="AG8">
        <v>0</v>
      </c>
      <c r="AH8">
        <v>100</v>
      </c>
      <c r="AI8">
        <v>0</v>
      </c>
      <c r="AJ8">
        <v>0</v>
      </c>
      <c r="AK8">
        <v>100</v>
      </c>
      <c r="AR8">
        <v>0</v>
      </c>
      <c r="AS8">
        <v>0</v>
      </c>
      <c r="AT8">
        <v>100</v>
      </c>
      <c r="AU8">
        <v>0</v>
      </c>
      <c r="AV8">
        <v>0</v>
      </c>
      <c r="AW8">
        <v>100</v>
      </c>
      <c r="BA8">
        <v>0</v>
      </c>
      <c r="BB8">
        <v>0</v>
      </c>
      <c r="BC8">
        <v>100</v>
      </c>
    </row>
    <row r="9" spans="1:61">
      <c r="A9" t="s">
        <v>972</v>
      </c>
      <c r="B9">
        <v>0</v>
      </c>
      <c r="C9">
        <v>5</v>
      </c>
      <c r="D9">
        <v>0</v>
      </c>
      <c r="E9">
        <v>1500</v>
      </c>
      <c r="AF9">
        <v>0</v>
      </c>
      <c r="AG9">
        <v>0</v>
      </c>
      <c r="AH9">
        <v>100</v>
      </c>
      <c r="AI9">
        <v>0</v>
      </c>
      <c r="AJ9">
        <v>100</v>
      </c>
      <c r="AK9">
        <v>0</v>
      </c>
    </row>
    <row r="10" spans="1:61">
      <c r="A10" t="s">
        <v>974</v>
      </c>
      <c r="B10">
        <v>0</v>
      </c>
      <c r="C10">
        <v>5</v>
      </c>
      <c r="D10">
        <v>0</v>
      </c>
      <c r="E10">
        <v>500</v>
      </c>
      <c r="H10">
        <v>2000</v>
      </c>
      <c r="I10">
        <v>10000</v>
      </c>
      <c r="L10">
        <v>0</v>
      </c>
      <c r="M10">
        <v>1000</v>
      </c>
      <c r="P10">
        <v>0</v>
      </c>
      <c r="Q10">
        <v>500</v>
      </c>
      <c r="R10">
        <v>0</v>
      </c>
      <c r="S10">
        <v>15000</v>
      </c>
      <c r="T10">
        <v>0</v>
      </c>
      <c r="U10">
        <v>0</v>
      </c>
      <c r="Y10">
        <v>0</v>
      </c>
      <c r="AA10">
        <v>0</v>
      </c>
      <c r="AC10">
        <v>0</v>
      </c>
      <c r="AE10">
        <v>0</v>
      </c>
      <c r="AO10">
        <v>10</v>
      </c>
      <c r="AP10">
        <v>70</v>
      </c>
      <c r="AQ10">
        <v>20</v>
      </c>
    </row>
    <row r="11" spans="1:61">
      <c r="A11" t="s">
        <v>974</v>
      </c>
      <c r="B11">
        <v>0</v>
      </c>
      <c r="D11">
        <v>0</v>
      </c>
      <c r="H11">
        <v>0</v>
      </c>
      <c r="J11">
        <v>0</v>
      </c>
      <c r="L11">
        <v>0</v>
      </c>
      <c r="P11">
        <v>0</v>
      </c>
      <c r="T11">
        <v>0</v>
      </c>
    </row>
    <row r="12" spans="1:61">
      <c r="A12" t="s">
        <v>974</v>
      </c>
      <c r="B12">
        <v>0</v>
      </c>
      <c r="C12">
        <v>0</v>
      </c>
      <c r="D12">
        <v>0</v>
      </c>
      <c r="E12">
        <v>0</v>
      </c>
      <c r="H12">
        <v>10000</v>
      </c>
      <c r="I12">
        <v>10000</v>
      </c>
      <c r="L12">
        <v>150</v>
      </c>
      <c r="M12">
        <v>150</v>
      </c>
      <c r="N12">
        <v>150</v>
      </c>
      <c r="O12">
        <v>150</v>
      </c>
      <c r="P12">
        <v>0</v>
      </c>
      <c r="Q12">
        <v>0</v>
      </c>
      <c r="R12">
        <v>10000</v>
      </c>
      <c r="S12">
        <v>10000</v>
      </c>
      <c r="T12">
        <v>10000</v>
      </c>
      <c r="U12">
        <v>10000</v>
      </c>
      <c r="Y12">
        <v>0</v>
      </c>
      <c r="AA12">
        <v>0</v>
      </c>
      <c r="AC12">
        <v>0</v>
      </c>
    </row>
    <row r="13" spans="1:61">
      <c r="A13" t="s">
        <v>972</v>
      </c>
      <c r="B13">
        <v>5</v>
      </c>
      <c r="C13">
        <v>5</v>
      </c>
      <c r="D13">
        <v>900</v>
      </c>
      <c r="E13">
        <v>850</v>
      </c>
      <c r="H13">
        <v>1750</v>
      </c>
      <c r="I13">
        <v>1700</v>
      </c>
      <c r="L13">
        <v>160</v>
      </c>
      <c r="M13">
        <v>150</v>
      </c>
      <c r="AF13">
        <v>100</v>
      </c>
      <c r="AG13">
        <v>0</v>
      </c>
      <c r="AH13">
        <v>0</v>
      </c>
      <c r="AI13">
        <v>90</v>
      </c>
      <c r="AJ13">
        <v>10</v>
      </c>
      <c r="AK13">
        <v>0</v>
      </c>
      <c r="AO13">
        <v>97</v>
      </c>
      <c r="AP13">
        <v>3</v>
      </c>
      <c r="AQ13">
        <v>0</v>
      </c>
      <c r="AU13">
        <v>93</v>
      </c>
      <c r="AV13">
        <v>7</v>
      </c>
      <c r="AW13">
        <v>0</v>
      </c>
    </row>
    <row r="14" spans="1:61">
      <c r="A14" t="s">
        <v>972</v>
      </c>
      <c r="B14">
        <v>5</v>
      </c>
      <c r="C14">
        <v>5</v>
      </c>
      <c r="D14">
        <v>1000</v>
      </c>
      <c r="E14">
        <v>1000</v>
      </c>
      <c r="J14">
        <v>4</v>
      </c>
      <c r="K14">
        <v>4</v>
      </c>
      <c r="AF14">
        <v>100</v>
      </c>
      <c r="AG14">
        <v>0</v>
      </c>
      <c r="AH14">
        <v>0</v>
      </c>
      <c r="AI14">
        <v>90</v>
      </c>
      <c r="AJ14">
        <v>10</v>
      </c>
      <c r="AK14">
        <v>0</v>
      </c>
      <c r="AR14">
        <v>0</v>
      </c>
      <c r="AS14">
        <v>50</v>
      </c>
      <c r="AT14">
        <v>50</v>
      </c>
    </row>
    <row r="15" spans="1:61">
      <c r="A15" t="s">
        <v>972</v>
      </c>
      <c r="B15">
        <v>13</v>
      </c>
      <c r="C15">
        <v>13</v>
      </c>
      <c r="D15">
        <v>3500</v>
      </c>
      <c r="E15">
        <v>3495</v>
      </c>
      <c r="F15">
        <v>7</v>
      </c>
      <c r="G15">
        <v>4</v>
      </c>
      <c r="P15">
        <v>0</v>
      </c>
      <c r="Q15">
        <v>0</v>
      </c>
      <c r="T15">
        <v>1598</v>
      </c>
      <c r="U15">
        <v>1550</v>
      </c>
      <c r="X15">
        <v>7</v>
      </c>
      <c r="AC15">
        <v>0</v>
      </c>
      <c r="AE15">
        <v>40</v>
      </c>
      <c r="AF15">
        <v>15</v>
      </c>
      <c r="AG15">
        <v>85</v>
      </c>
      <c r="AH15">
        <v>0</v>
      </c>
      <c r="AL15">
        <v>100</v>
      </c>
      <c r="AM15">
        <v>0</v>
      </c>
      <c r="AN15">
        <v>0</v>
      </c>
      <c r="BG15">
        <v>2</v>
      </c>
      <c r="BH15">
        <v>93</v>
      </c>
      <c r="BI15">
        <v>5</v>
      </c>
    </row>
    <row r="16" spans="1:61">
      <c r="A16" t="s">
        <v>972</v>
      </c>
      <c r="B16">
        <v>15</v>
      </c>
      <c r="C16">
        <v>15</v>
      </c>
      <c r="D16">
        <v>2000</v>
      </c>
      <c r="E16">
        <v>2000</v>
      </c>
      <c r="H16">
        <v>4000</v>
      </c>
      <c r="I16">
        <v>4000</v>
      </c>
      <c r="J16">
        <v>100</v>
      </c>
      <c r="K16">
        <v>100</v>
      </c>
      <c r="L16">
        <v>500</v>
      </c>
      <c r="M16">
        <v>500</v>
      </c>
      <c r="P16">
        <v>3000</v>
      </c>
      <c r="Q16">
        <v>3000</v>
      </c>
      <c r="T16">
        <v>250</v>
      </c>
      <c r="U16">
        <v>250</v>
      </c>
      <c r="Y16">
        <v>0</v>
      </c>
      <c r="Z16">
        <v>0</v>
      </c>
      <c r="AA16">
        <v>0</v>
      </c>
      <c r="AC16">
        <v>100</v>
      </c>
      <c r="AE16">
        <v>0</v>
      </c>
      <c r="AF16">
        <v>0</v>
      </c>
      <c r="AG16">
        <v>0</v>
      </c>
      <c r="AH16">
        <v>100</v>
      </c>
      <c r="AI16">
        <v>0</v>
      </c>
      <c r="AJ16">
        <v>0</v>
      </c>
      <c r="AK16">
        <v>100</v>
      </c>
      <c r="AO16">
        <v>0</v>
      </c>
      <c r="AP16">
        <v>100</v>
      </c>
      <c r="AQ16">
        <v>0</v>
      </c>
      <c r="AR16">
        <v>0</v>
      </c>
      <c r="AS16">
        <v>0</v>
      </c>
      <c r="AT16">
        <v>100</v>
      </c>
      <c r="AU16">
        <v>0</v>
      </c>
      <c r="AV16">
        <v>50</v>
      </c>
      <c r="AW16">
        <v>50</v>
      </c>
      <c r="BA16">
        <v>1</v>
      </c>
      <c r="BB16">
        <v>99</v>
      </c>
      <c r="BC16">
        <v>1</v>
      </c>
      <c r="BG16">
        <v>0</v>
      </c>
      <c r="BH16">
        <v>100</v>
      </c>
      <c r="BI16">
        <v>0</v>
      </c>
    </row>
    <row r="17" spans="1:61">
      <c r="A17" t="s">
        <v>972</v>
      </c>
      <c r="B17">
        <v>25</v>
      </c>
      <c r="D17">
        <v>300</v>
      </c>
      <c r="L17">
        <v>100</v>
      </c>
      <c r="P17">
        <v>100</v>
      </c>
      <c r="T17">
        <v>50</v>
      </c>
    </row>
    <row r="18" spans="1:61">
      <c r="A18" t="s">
        <v>972</v>
      </c>
      <c r="B18">
        <v>80</v>
      </c>
      <c r="C18">
        <v>200</v>
      </c>
    </row>
    <row r="19" spans="1:61">
      <c r="A19" t="s">
        <v>954</v>
      </c>
      <c r="B19">
        <v>3000</v>
      </c>
      <c r="C19">
        <v>3000</v>
      </c>
      <c r="D19">
        <v>27000</v>
      </c>
      <c r="E19">
        <v>27000</v>
      </c>
      <c r="F19">
        <v>0</v>
      </c>
      <c r="G19">
        <v>0</v>
      </c>
      <c r="H19">
        <v>0</v>
      </c>
      <c r="I19">
        <v>0</v>
      </c>
      <c r="J19">
        <v>2200</v>
      </c>
      <c r="K19">
        <v>22000</v>
      </c>
      <c r="L19">
        <v>0</v>
      </c>
      <c r="M19">
        <v>0</v>
      </c>
      <c r="P19">
        <v>0</v>
      </c>
      <c r="Q19">
        <v>0</v>
      </c>
      <c r="R19">
        <v>400</v>
      </c>
      <c r="S19">
        <v>400</v>
      </c>
      <c r="T19">
        <v>250000</v>
      </c>
      <c r="U19">
        <v>250000</v>
      </c>
      <c r="X19">
        <v>0</v>
      </c>
      <c r="Y19">
        <v>0</v>
      </c>
      <c r="AA19">
        <v>0</v>
      </c>
      <c r="AC19">
        <v>0</v>
      </c>
      <c r="AF19">
        <v>0</v>
      </c>
      <c r="AG19">
        <v>80</v>
      </c>
      <c r="AH19">
        <v>20</v>
      </c>
      <c r="AI19">
        <v>0</v>
      </c>
      <c r="AJ19">
        <v>30</v>
      </c>
      <c r="AK19">
        <v>70</v>
      </c>
      <c r="AR19">
        <v>3</v>
      </c>
      <c r="AS19">
        <v>27</v>
      </c>
      <c r="AT19">
        <v>70</v>
      </c>
      <c r="BD19">
        <v>10</v>
      </c>
      <c r="BE19">
        <v>40</v>
      </c>
      <c r="BF19">
        <v>50</v>
      </c>
      <c r="BG19">
        <v>100</v>
      </c>
      <c r="BH19">
        <v>0</v>
      </c>
      <c r="BI19">
        <v>0</v>
      </c>
    </row>
    <row r="20" spans="1:61">
      <c r="A20" t="s">
        <v>972</v>
      </c>
      <c r="B20">
        <v>3000</v>
      </c>
      <c r="C20">
        <v>3000</v>
      </c>
      <c r="AF20">
        <v>20</v>
      </c>
      <c r="AG20">
        <v>80</v>
      </c>
      <c r="AH20">
        <v>0</v>
      </c>
    </row>
    <row r="21" spans="1:61">
      <c r="A21" t="s">
        <v>972</v>
      </c>
      <c r="B21">
        <v>4500</v>
      </c>
      <c r="C21">
        <v>4500</v>
      </c>
      <c r="D21">
        <v>6500</v>
      </c>
      <c r="E21">
        <v>6500</v>
      </c>
      <c r="AF21">
        <v>0</v>
      </c>
      <c r="AG21">
        <v>10</v>
      </c>
      <c r="AH21">
        <v>90</v>
      </c>
    </row>
    <row r="22" spans="1:61">
      <c r="A22" t="s">
        <v>973</v>
      </c>
      <c r="B22">
        <v>15000</v>
      </c>
      <c r="C22">
        <v>15000</v>
      </c>
      <c r="D22">
        <v>600000</v>
      </c>
      <c r="E22">
        <v>600000</v>
      </c>
      <c r="H22">
        <v>1000</v>
      </c>
      <c r="I22">
        <v>1000</v>
      </c>
      <c r="J22">
        <v>500</v>
      </c>
      <c r="K22">
        <v>10000</v>
      </c>
      <c r="L22">
        <v>8500</v>
      </c>
      <c r="M22">
        <v>120000</v>
      </c>
      <c r="P22">
        <v>700</v>
      </c>
      <c r="Q22">
        <v>700</v>
      </c>
      <c r="Y22">
        <v>30</v>
      </c>
      <c r="Z22">
        <v>3</v>
      </c>
      <c r="AA22">
        <v>0</v>
      </c>
      <c r="AC22">
        <v>0</v>
      </c>
      <c r="AF22">
        <v>2</v>
      </c>
      <c r="AG22">
        <v>98</v>
      </c>
      <c r="AH22">
        <v>0</v>
      </c>
      <c r="AI22">
        <v>2</v>
      </c>
      <c r="AJ22">
        <v>13</v>
      </c>
      <c r="AK22">
        <v>85</v>
      </c>
      <c r="AO22">
        <v>3</v>
      </c>
      <c r="AP22">
        <v>10</v>
      </c>
      <c r="AQ22">
        <v>87</v>
      </c>
      <c r="AR22">
        <v>2</v>
      </c>
      <c r="AS22">
        <v>13</v>
      </c>
      <c r="AT22">
        <v>85</v>
      </c>
      <c r="AU22">
        <v>2</v>
      </c>
      <c r="AV22">
        <v>13</v>
      </c>
      <c r="AW22">
        <v>85</v>
      </c>
      <c r="BA22">
        <v>3</v>
      </c>
      <c r="BB22">
        <v>97</v>
      </c>
      <c r="BC22">
        <v>0</v>
      </c>
      <c r="BD22">
        <v>0</v>
      </c>
      <c r="BE22">
        <v>0</v>
      </c>
      <c r="BF22">
        <v>100</v>
      </c>
    </row>
    <row r="23" spans="1:61">
      <c r="A23" t="s">
        <v>974</v>
      </c>
      <c r="B23">
        <v>16000</v>
      </c>
      <c r="C23">
        <v>16000</v>
      </c>
      <c r="D23">
        <v>1500</v>
      </c>
      <c r="E23">
        <v>1500</v>
      </c>
      <c r="H23">
        <v>0</v>
      </c>
      <c r="I23">
        <v>2000</v>
      </c>
      <c r="N23">
        <v>10</v>
      </c>
      <c r="O23">
        <v>10</v>
      </c>
      <c r="P23">
        <v>20000</v>
      </c>
      <c r="Q23">
        <v>20000</v>
      </c>
      <c r="R23">
        <v>0</v>
      </c>
      <c r="S23">
        <v>2000</v>
      </c>
      <c r="T23">
        <v>0</v>
      </c>
      <c r="U23">
        <v>0</v>
      </c>
      <c r="Y23">
        <v>0</v>
      </c>
      <c r="AC23">
        <v>0</v>
      </c>
      <c r="AE23">
        <v>0</v>
      </c>
      <c r="AF23">
        <v>1</v>
      </c>
      <c r="AG23">
        <v>0</v>
      </c>
      <c r="AH23">
        <v>99</v>
      </c>
      <c r="AI23">
        <v>0</v>
      </c>
      <c r="AJ23">
        <v>0</v>
      </c>
      <c r="AK23">
        <v>100</v>
      </c>
      <c r="AO23">
        <v>0</v>
      </c>
      <c r="AP23">
        <v>100</v>
      </c>
      <c r="AQ23">
        <v>0</v>
      </c>
      <c r="AX23">
        <v>30</v>
      </c>
      <c r="AY23">
        <v>70</v>
      </c>
      <c r="AZ23">
        <v>0</v>
      </c>
      <c r="BA23">
        <v>2</v>
      </c>
      <c r="BB23">
        <v>5</v>
      </c>
      <c r="BC23">
        <v>93</v>
      </c>
    </row>
    <row r="24" spans="1:61">
      <c r="A24" t="s">
        <v>972</v>
      </c>
      <c r="B24">
        <v>51000</v>
      </c>
      <c r="C24">
        <v>55000</v>
      </c>
      <c r="D24">
        <v>100000</v>
      </c>
      <c r="E24">
        <v>110000</v>
      </c>
      <c r="H24">
        <v>20</v>
      </c>
      <c r="I24">
        <v>10000</v>
      </c>
      <c r="J24">
        <v>50</v>
      </c>
      <c r="K24">
        <v>2000</v>
      </c>
      <c r="L24">
        <v>200</v>
      </c>
      <c r="M24">
        <v>10000</v>
      </c>
      <c r="N24">
        <v>200</v>
      </c>
      <c r="O24">
        <v>220</v>
      </c>
      <c r="P24">
        <v>1000</v>
      </c>
      <c r="Q24">
        <v>1050</v>
      </c>
      <c r="R24">
        <v>50</v>
      </c>
      <c r="S24">
        <v>200000</v>
      </c>
      <c r="T24">
        <v>2000</v>
      </c>
      <c r="U24">
        <v>2000</v>
      </c>
      <c r="Y24">
        <v>0</v>
      </c>
      <c r="Z24">
        <v>0</v>
      </c>
      <c r="AA24">
        <v>0</v>
      </c>
      <c r="AC24">
        <v>0</v>
      </c>
      <c r="AE24">
        <v>0</v>
      </c>
      <c r="AF24">
        <v>0</v>
      </c>
      <c r="AG24">
        <v>4</v>
      </c>
      <c r="AH24">
        <v>96</v>
      </c>
      <c r="AI24">
        <v>0</v>
      </c>
      <c r="AJ24">
        <v>0</v>
      </c>
      <c r="AK24">
        <v>100</v>
      </c>
      <c r="AO24">
        <v>2</v>
      </c>
      <c r="AP24">
        <v>3</v>
      </c>
      <c r="AQ24">
        <v>95</v>
      </c>
      <c r="AR24">
        <v>0</v>
      </c>
      <c r="AS24">
        <v>0</v>
      </c>
      <c r="AT24">
        <v>100</v>
      </c>
      <c r="AU24">
        <v>4</v>
      </c>
      <c r="AV24">
        <v>65</v>
      </c>
      <c r="AW24">
        <v>31</v>
      </c>
      <c r="AX24">
        <v>1</v>
      </c>
      <c r="AY24">
        <v>85</v>
      </c>
      <c r="AZ24">
        <v>14</v>
      </c>
      <c r="BA24">
        <v>1</v>
      </c>
      <c r="BB24">
        <v>30</v>
      </c>
      <c r="BC24">
        <v>69</v>
      </c>
      <c r="BD24">
        <v>0</v>
      </c>
      <c r="BE24">
        <v>5</v>
      </c>
      <c r="BF24">
        <v>95</v>
      </c>
      <c r="BG24">
        <v>0</v>
      </c>
      <c r="BH24">
        <v>100</v>
      </c>
      <c r="BI24">
        <v>0</v>
      </c>
    </row>
    <row r="25" spans="1:61">
      <c r="A25" t="s">
        <v>973</v>
      </c>
      <c r="B25">
        <v>595000</v>
      </c>
      <c r="C25">
        <v>665000</v>
      </c>
      <c r="N25">
        <v>50</v>
      </c>
      <c r="O25">
        <v>500</v>
      </c>
      <c r="P25">
        <v>138000</v>
      </c>
      <c r="Q25">
        <v>273000</v>
      </c>
      <c r="AC25">
        <v>0</v>
      </c>
    </row>
    <row r="26" spans="1:61">
      <c r="A26" t="s">
        <v>972</v>
      </c>
      <c r="D26">
        <v>350</v>
      </c>
      <c r="E26">
        <v>350</v>
      </c>
      <c r="L26">
        <v>20</v>
      </c>
      <c r="M26">
        <v>20</v>
      </c>
      <c r="AI26">
        <v>0</v>
      </c>
      <c r="AJ26">
        <v>0</v>
      </c>
      <c r="AK26">
        <v>100</v>
      </c>
      <c r="AU26">
        <v>0</v>
      </c>
      <c r="AV26">
        <v>0</v>
      </c>
      <c r="AW26">
        <v>100</v>
      </c>
    </row>
    <row r="27" spans="1:61">
      <c r="A27" t="s">
        <v>974</v>
      </c>
      <c r="C27">
        <v>20</v>
      </c>
      <c r="E27">
        <v>200</v>
      </c>
      <c r="I27">
        <v>50</v>
      </c>
      <c r="M27">
        <v>200</v>
      </c>
      <c r="O27">
        <v>100</v>
      </c>
      <c r="Q27">
        <v>5000</v>
      </c>
      <c r="S27">
        <v>2000</v>
      </c>
      <c r="AF27">
        <v>0</v>
      </c>
      <c r="AG27">
        <v>100</v>
      </c>
      <c r="AH27">
        <v>0</v>
      </c>
      <c r="AO27">
        <v>100</v>
      </c>
      <c r="AP27">
        <v>0</v>
      </c>
      <c r="AQ27">
        <v>0</v>
      </c>
      <c r="AX27">
        <v>0</v>
      </c>
      <c r="AY27">
        <v>100</v>
      </c>
      <c r="AZ27">
        <v>0</v>
      </c>
      <c r="BA27">
        <v>10</v>
      </c>
      <c r="BB27">
        <v>90</v>
      </c>
      <c r="BC27">
        <v>0</v>
      </c>
    </row>
    <row r="29" spans="1:61">
      <c r="A29" s="4" t="s">
        <v>1357</v>
      </c>
      <c r="B29" s="3">
        <f>SUM(B8:B27)</f>
        <v>687643</v>
      </c>
      <c r="C29" s="3">
        <f t="shared" ref="C29:BI29" si="0">SUM(C8:C27)</f>
        <v>761768</v>
      </c>
      <c r="D29" s="3">
        <f t="shared" si="0"/>
        <v>743350</v>
      </c>
      <c r="E29" s="3">
        <f t="shared" si="0"/>
        <v>754895</v>
      </c>
      <c r="F29" s="3">
        <f t="shared" si="0"/>
        <v>7</v>
      </c>
      <c r="G29" s="3">
        <f t="shared" si="0"/>
        <v>4</v>
      </c>
      <c r="H29" s="3">
        <f t="shared" si="0"/>
        <v>18770</v>
      </c>
      <c r="I29" s="3">
        <f t="shared" si="0"/>
        <v>38750</v>
      </c>
      <c r="J29" s="3">
        <f t="shared" si="0"/>
        <v>3854</v>
      </c>
      <c r="K29" s="3">
        <f t="shared" si="0"/>
        <v>34104</v>
      </c>
      <c r="L29" s="3">
        <f t="shared" si="0"/>
        <v>9630</v>
      </c>
      <c r="M29" s="3">
        <f t="shared" si="0"/>
        <v>132020</v>
      </c>
      <c r="N29" s="3">
        <f t="shared" si="0"/>
        <v>410</v>
      </c>
      <c r="O29" s="3">
        <f t="shared" si="0"/>
        <v>980</v>
      </c>
      <c r="P29" s="3">
        <f t="shared" si="0"/>
        <v>162800</v>
      </c>
      <c r="Q29" s="3">
        <f t="shared" si="0"/>
        <v>303250</v>
      </c>
      <c r="R29" s="3">
        <f t="shared" si="0"/>
        <v>10450</v>
      </c>
      <c r="S29" s="3">
        <f t="shared" si="0"/>
        <v>229400</v>
      </c>
      <c r="T29" s="3">
        <f t="shared" si="0"/>
        <v>263898</v>
      </c>
      <c r="U29" s="3">
        <f t="shared" si="0"/>
        <v>263800</v>
      </c>
      <c r="V29" s="3">
        <f t="shared" si="0"/>
        <v>0</v>
      </c>
      <c r="W29" s="3">
        <f t="shared" si="0"/>
        <v>0</v>
      </c>
      <c r="X29" s="3">
        <f t="shared" si="0"/>
        <v>7</v>
      </c>
      <c r="Y29" s="3">
        <f t="shared" si="0"/>
        <v>30</v>
      </c>
      <c r="Z29" s="3">
        <f t="shared" si="0"/>
        <v>3</v>
      </c>
      <c r="AA29" s="3">
        <f t="shared" si="0"/>
        <v>0</v>
      </c>
      <c r="AB29" s="3">
        <f t="shared" si="0"/>
        <v>0</v>
      </c>
      <c r="AC29" s="3">
        <f t="shared" si="0"/>
        <v>100</v>
      </c>
      <c r="AD29" s="3">
        <f t="shared" si="0"/>
        <v>0</v>
      </c>
      <c r="AE29" s="3">
        <f t="shared" si="0"/>
        <v>40</v>
      </c>
      <c r="AF29" s="3">
        <f t="shared" si="0"/>
        <v>238</v>
      </c>
      <c r="AG29" s="3">
        <f t="shared" si="0"/>
        <v>457</v>
      </c>
      <c r="AH29" s="3">
        <f t="shared" si="0"/>
        <v>605</v>
      </c>
      <c r="AI29" s="3">
        <f t="shared" si="0"/>
        <v>182</v>
      </c>
      <c r="AJ29" s="3">
        <f t="shared" si="0"/>
        <v>163</v>
      </c>
      <c r="AK29" s="3">
        <f t="shared" si="0"/>
        <v>655</v>
      </c>
      <c r="AL29" s="3">
        <f t="shared" si="0"/>
        <v>100</v>
      </c>
      <c r="AM29" s="3">
        <f t="shared" si="0"/>
        <v>0</v>
      </c>
      <c r="AN29" s="3">
        <f t="shared" si="0"/>
        <v>0</v>
      </c>
      <c r="AO29" s="3">
        <f t="shared" si="0"/>
        <v>212</v>
      </c>
      <c r="AP29" s="3">
        <f t="shared" si="0"/>
        <v>286</v>
      </c>
      <c r="AQ29" s="3">
        <f t="shared" si="0"/>
        <v>202</v>
      </c>
      <c r="AR29" s="3">
        <f t="shared" si="0"/>
        <v>5</v>
      </c>
      <c r="AS29" s="3">
        <f t="shared" si="0"/>
        <v>90</v>
      </c>
      <c r="AT29" s="3">
        <f t="shared" si="0"/>
        <v>505</v>
      </c>
      <c r="AU29" s="3">
        <f t="shared" si="0"/>
        <v>99</v>
      </c>
      <c r="AV29" s="3">
        <f t="shared" si="0"/>
        <v>135</v>
      </c>
      <c r="AW29" s="3">
        <f t="shared" si="0"/>
        <v>366</v>
      </c>
      <c r="AX29" s="3">
        <f t="shared" si="0"/>
        <v>31</v>
      </c>
      <c r="AY29" s="3">
        <f t="shared" si="0"/>
        <v>255</v>
      </c>
      <c r="AZ29" s="3">
        <f t="shared" si="0"/>
        <v>14</v>
      </c>
      <c r="BA29" s="3">
        <f t="shared" si="0"/>
        <v>17</v>
      </c>
      <c r="BB29" s="3">
        <f t="shared" si="0"/>
        <v>321</v>
      </c>
      <c r="BC29" s="3">
        <f t="shared" si="0"/>
        <v>263</v>
      </c>
      <c r="BD29" s="3">
        <f t="shared" si="0"/>
        <v>10</v>
      </c>
      <c r="BE29" s="3">
        <f t="shared" si="0"/>
        <v>45</v>
      </c>
      <c r="BF29" s="3">
        <f t="shared" si="0"/>
        <v>245</v>
      </c>
      <c r="BG29" s="3">
        <f t="shared" si="0"/>
        <v>102</v>
      </c>
      <c r="BH29" s="3">
        <f t="shared" si="0"/>
        <v>293</v>
      </c>
      <c r="BI29" s="3">
        <f t="shared" si="0"/>
        <v>5</v>
      </c>
    </row>
    <row r="30" spans="1:61">
      <c r="A30" s="4" t="s">
        <v>1117</v>
      </c>
      <c r="B30" s="15">
        <f>B29/18</f>
        <v>38202.388888888891</v>
      </c>
      <c r="C30" s="15">
        <f>C29/17</f>
        <v>44809.882352941175</v>
      </c>
      <c r="D30" s="15">
        <f>D29/16</f>
        <v>46459.375</v>
      </c>
      <c r="E30" s="15">
        <f>E29/14</f>
        <v>53921.071428571428</v>
      </c>
      <c r="F30" s="15">
        <f>F29/2</f>
        <v>3.5</v>
      </c>
      <c r="G30" s="15">
        <f>G29/2</f>
        <v>2</v>
      </c>
      <c r="H30" s="15">
        <f>H29/9</f>
        <v>2085.5555555555557</v>
      </c>
      <c r="I30" s="15">
        <f>I29/9</f>
        <v>4305.5555555555557</v>
      </c>
      <c r="J30" s="15">
        <f>J29/7</f>
        <v>550.57142857142856</v>
      </c>
      <c r="K30" s="15">
        <f>K29/5</f>
        <v>6820.8</v>
      </c>
      <c r="L30" s="15">
        <f>L29/11</f>
        <v>875.4545454545455</v>
      </c>
      <c r="M30" s="15">
        <f>M29/9</f>
        <v>14668.888888888889</v>
      </c>
      <c r="N30" s="15">
        <f>N29/4</f>
        <v>102.5</v>
      </c>
      <c r="O30" s="15">
        <f>O29/5</f>
        <v>196</v>
      </c>
      <c r="P30" s="15">
        <f>P29/12</f>
        <v>13566.666666666666</v>
      </c>
      <c r="Q30" s="15">
        <f>Q29/10</f>
        <v>30325</v>
      </c>
      <c r="R30" s="15">
        <f>R29/5</f>
        <v>2090</v>
      </c>
      <c r="S30" s="15">
        <f>S29/6</f>
        <v>38233.333333333336</v>
      </c>
      <c r="T30" s="15">
        <f>T29/9</f>
        <v>29322</v>
      </c>
      <c r="U30" s="15">
        <f>U29/7</f>
        <v>37685.714285714283</v>
      </c>
      <c r="V30" s="15">
        <f t="shared" ref="V30:AD30" si="1">V29/20</f>
        <v>0</v>
      </c>
      <c r="W30" s="15">
        <f t="shared" si="1"/>
        <v>0</v>
      </c>
      <c r="X30" s="15">
        <f>X29/2</f>
        <v>3.5</v>
      </c>
      <c r="Y30" s="15">
        <f>Y29/7</f>
        <v>4.2857142857142856</v>
      </c>
      <c r="Z30" s="15">
        <f>Z29/3</f>
        <v>1</v>
      </c>
      <c r="AA30" s="15">
        <f>AA29/6</f>
        <v>0</v>
      </c>
      <c r="AB30" s="15">
        <f t="shared" si="1"/>
        <v>0</v>
      </c>
      <c r="AC30" s="15">
        <f>AC29/9</f>
        <v>11.111111111111111</v>
      </c>
      <c r="AD30" s="15">
        <f t="shared" si="1"/>
        <v>0</v>
      </c>
      <c r="AE30" s="15">
        <f>AE29/5</f>
        <v>8</v>
      </c>
      <c r="AF30" s="15">
        <f>AF29/13</f>
        <v>18.307692307692307</v>
      </c>
      <c r="AG30" s="15">
        <f>AG29/13</f>
        <v>35.153846153846153</v>
      </c>
      <c r="AH30" s="15">
        <f>AH29/13</f>
        <v>46.53846153846154</v>
      </c>
      <c r="AI30" s="15">
        <f>AI29/10</f>
        <v>18.2</v>
      </c>
      <c r="AJ30" s="15">
        <f>AJ29/10</f>
        <v>16.3</v>
      </c>
      <c r="AK30" s="15">
        <f>AK29/10</f>
        <v>65.5</v>
      </c>
      <c r="AL30" s="15">
        <f>AL29/1</f>
        <v>100</v>
      </c>
      <c r="AM30" s="15">
        <f>AM29/1</f>
        <v>0</v>
      </c>
      <c r="AN30" s="15">
        <f>AN29/1</f>
        <v>0</v>
      </c>
      <c r="AO30" s="15">
        <f>AO29/7</f>
        <v>30.285714285714285</v>
      </c>
      <c r="AP30" s="15">
        <f>AP29/7</f>
        <v>40.857142857142854</v>
      </c>
      <c r="AQ30" s="15">
        <f>AQ29/7</f>
        <v>28.857142857142858</v>
      </c>
      <c r="AR30" s="15">
        <f t="shared" ref="AR30:AW30" si="2">AR29/6</f>
        <v>0.83333333333333337</v>
      </c>
      <c r="AS30" s="15">
        <f t="shared" si="2"/>
        <v>15</v>
      </c>
      <c r="AT30" s="15">
        <f t="shared" si="2"/>
        <v>84.166666666666671</v>
      </c>
      <c r="AU30" s="15">
        <f t="shared" si="2"/>
        <v>16.5</v>
      </c>
      <c r="AV30" s="15">
        <f t="shared" si="2"/>
        <v>22.5</v>
      </c>
      <c r="AW30" s="15">
        <f t="shared" si="2"/>
        <v>61</v>
      </c>
      <c r="AX30" s="15">
        <f>AX29/3</f>
        <v>10.333333333333334</v>
      </c>
      <c r="AY30" s="15">
        <f>AY29/3</f>
        <v>85</v>
      </c>
      <c r="AZ30" s="15">
        <f>AZ29/3</f>
        <v>4.666666666666667</v>
      </c>
      <c r="BA30" s="15">
        <f>BA29/6</f>
        <v>2.8333333333333335</v>
      </c>
      <c r="BB30" s="15">
        <f>BB29/6</f>
        <v>53.5</v>
      </c>
      <c r="BC30" s="15">
        <f>BC29/6</f>
        <v>43.833333333333336</v>
      </c>
      <c r="BD30" s="15">
        <f>BD29/3</f>
        <v>3.3333333333333335</v>
      </c>
      <c r="BE30" s="15">
        <f>BE29/3</f>
        <v>15</v>
      </c>
      <c r="BF30" s="15">
        <f>BF29/3</f>
        <v>81.666666666666671</v>
      </c>
      <c r="BG30" s="15">
        <f>BG29/4</f>
        <v>25.5</v>
      </c>
      <c r="BH30" s="15">
        <f>BH29/4</f>
        <v>73.25</v>
      </c>
      <c r="BI30" s="15">
        <f>BI29/4</f>
        <v>1.25</v>
      </c>
    </row>
    <row r="32" spans="1:61">
      <c r="B32" t="s">
        <v>157</v>
      </c>
      <c r="C32" t="s">
        <v>158</v>
      </c>
      <c r="D32" t="s">
        <v>159</v>
      </c>
      <c r="E32" t="s">
        <v>160</v>
      </c>
      <c r="F32" t="s">
        <v>161</v>
      </c>
      <c r="G32" t="s">
        <v>162</v>
      </c>
      <c r="H32" t="s">
        <v>163</v>
      </c>
      <c r="I32" t="s">
        <v>164</v>
      </c>
      <c r="J32" t="s">
        <v>165</v>
      </c>
      <c r="K32" t="s">
        <v>166</v>
      </c>
      <c r="L32" t="s">
        <v>167</v>
      </c>
      <c r="M32" t="s">
        <v>168</v>
      </c>
      <c r="N32" t="s">
        <v>169</v>
      </c>
      <c r="O32" t="s">
        <v>170</v>
      </c>
      <c r="P32" t="s">
        <v>171</v>
      </c>
      <c r="Q32" t="s">
        <v>172</v>
      </c>
      <c r="R32" t="s">
        <v>173</v>
      </c>
      <c r="S32" t="s">
        <v>174</v>
      </c>
      <c r="T32" t="s">
        <v>175</v>
      </c>
      <c r="U32" t="s">
        <v>176</v>
      </c>
      <c r="V32" t="s">
        <v>177</v>
      </c>
      <c r="W32" t="s">
        <v>178</v>
      </c>
      <c r="X32" t="s">
        <v>179</v>
      </c>
      <c r="Y32" t="s">
        <v>180</v>
      </c>
      <c r="Z32" t="s">
        <v>181</v>
      </c>
      <c r="AA32" t="s">
        <v>182</v>
      </c>
      <c r="AB32" t="s">
        <v>183</v>
      </c>
      <c r="AC32" t="s">
        <v>184</v>
      </c>
      <c r="AD32" t="s">
        <v>185</v>
      </c>
      <c r="AE32" t="s">
        <v>186</v>
      </c>
      <c r="AF32" t="s">
        <v>187</v>
      </c>
      <c r="AG32" t="s">
        <v>188</v>
      </c>
      <c r="AH32" t="s">
        <v>189</v>
      </c>
      <c r="AI32" t="s">
        <v>190</v>
      </c>
      <c r="AJ32" t="s">
        <v>191</v>
      </c>
      <c r="AK32" t="s">
        <v>192</v>
      </c>
      <c r="AL32" t="s">
        <v>193</v>
      </c>
      <c r="AM32" t="s">
        <v>194</v>
      </c>
      <c r="AN32" t="s">
        <v>195</v>
      </c>
      <c r="AO32" t="s">
        <v>196</v>
      </c>
      <c r="AP32" t="s">
        <v>197</v>
      </c>
      <c r="AQ32" t="s">
        <v>198</v>
      </c>
      <c r="AR32" t="s">
        <v>199</v>
      </c>
      <c r="AS32" t="s">
        <v>200</v>
      </c>
      <c r="AT32" t="s">
        <v>201</v>
      </c>
      <c r="AU32" t="s">
        <v>202</v>
      </c>
      <c r="AV32" t="s">
        <v>203</v>
      </c>
      <c r="AW32" t="s">
        <v>204</v>
      </c>
      <c r="AX32" t="s">
        <v>205</v>
      </c>
      <c r="AY32" t="s">
        <v>206</v>
      </c>
      <c r="AZ32" t="s">
        <v>207</v>
      </c>
      <c r="BA32" t="s">
        <v>208</v>
      </c>
      <c r="BB32" t="s">
        <v>209</v>
      </c>
      <c r="BC32" t="s">
        <v>210</v>
      </c>
      <c r="BD32" t="s">
        <v>211</v>
      </c>
      <c r="BE32" t="s">
        <v>212</v>
      </c>
      <c r="BF32" t="s">
        <v>213</v>
      </c>
      <c r="BG32" t="s">
        <v>214</v>
      </c>
      <c r="BH32" t="s">
        <v>215</v>
      </c>
      <c r="BI32" t="s">
        <v>216</v>
      </c>
    </row>
    <row r="33" spans="1:61">
      <c r="B33" t="s">
        <v>1358</v>
      </c>
      <c r="C33" t="s">
        <v>716</v>
      </c>
      <c r="D33" t="s">
        <v>1359</v>
      </c>
      <c r="E33" t="s">
        <v>718</v>
      </c>
      <c r="F33" t="s">
        <v>719</v>
      </c>
      <c r="G33" t="s">
        <v>720</v>
      </c>
      <c r="H33" t="s">
        <v>721</v>
      </c>
      <c r="I33" t="s">
        <v>722</v>
      </c>
      <c r="J33" t="s">
        <v>723</v>
      </c>
      <c r="K33" t="s">
        <v>724</v>
      </c>
      <c r="L33" t="s">
        <v>725</v>
      </c>
      <c r="M33" t="s">
        <v>726</v>
      </c>
      <c r="N33" t="s">
        <v>727</v>
      </c>
      <c r="O33" t="s">
        <v>728</v>
      </c>
      <c r="P33" t="s">
        <v>729</v>
      </c>
      <c r="Q33" t="s">
        <v>730</v>
      </c>
      <c r="R33" t="s">
        <v>731</v>
      </c>
      <c r="S33" t="s">
        <v>732</v>
      </c>
      <c r="T33" t="s">
        <v>733</v>
      </c>
      <c r="U33" t="s">
        <v>734</v>
      </c>
      <c r="V33" t="s">
        <v>735</v>
      </c>
      <c r="W33" t="s">
        <v>736</v>
      </c>
      <c r="X33" t="s">
        <v>720</v>
      </c>
      <c r="Y33" t="s">
        <v>722</v>
      </c>
      <c r="Z33" t="s">
        <v>724</v>
      </c>
      <c r="AA33" t="s">
        <v>726</v>
      </c>
      <c r="AB33" t="s">
        <v>737</v>
      </c>
      <c r="AC33" t="s">
        <v>730</v>
      </c>
      <c r="AD33" t="s">
        <v>738</v>
      </c>
      <c r="AE33" t="s">
        <v>734</v>
      </c>
      <c r="AF33" t="s">
        <v>739</v>
      </c>
      <c r="AG33" t="s">
        <v>739</v>
      </c>
      <c r="AH33" t="s">
        <v>739</v>
      </c>
      <c r="AI33" t="s">
        <v>740</v>
      </c>
      <c r="AJ33" t="s">
        <v>740</v>
      </c>
      <c r="AK33" t="s">
        <v>740</v>
      </c>
      <c r="AL33" t="s">
        <v>741</v>
      </c>
      <c r="AM33" t="s">
        <v>741</v>
      </c>
      <c r="AN33" t="s">
        <v>741</v>
      </c>
      <c r="AO33" t="s">
        <v>742</v>
      </c>
      <c r="AP33" t="s">
        <v>742</v>
      </c>
      <c r="AQ33" t="s">
        <v>742</v>
      </c>
      <c r="AR33" t="s">
        <v>743</v>
      </c>
      <c r="AS33" t="s">
        <v>743</v>
      </c>
      <c r="AT33" t="s">
        <v>743</v>
      </c>
      <c r="AU33" t="s">
        <v>744</v>
      </c>
      <c r="AV33" t="s">
        <v>744</v>
      </c>
      <c r="AW33" t="s">
        <v>744</v>
      </c>
      <c r="AX33" t="s">
        <v>745</v>
      </c>
      <c r="AY33" t="s">
        <v>745</v>
      </c>
      <c r="AZ33" t="s">
        <v>745</v>
      </c>
      <c r="BA33" t="s">
        <v>746</v>
      </c>
      <c r="BB33" t="s">
        <v>746</v>
      </c>
      <c r="BC33" t="s">
        <v>746</v>
      </c>
      <c r="BD33" t="s">
        <v>747</v>
      </c>
      <c r="BE33" t="s">
        <v>747</v>
      </c>
      <c r="BF33" t="s">
        <v>747</v>
      </c>
      <c r="BG33" t="s">
        <v>748</v>
      </c>
      <c r="BH33" t="s">
        <v>748</v>
      </c>
      <c r="BI33" t="s">
        <v>748</v>
      </c>
    </row>
    <row r="34" spans="1:61">
      <c r="A34" s="3" t="s">
        <v>1364</v>
      </c>
    </row>
    <row r="35" spans="1:61">
      <c r="B35" t="s">
        <v>1294</v>
      </c>
      <c r="C35" t="s">
        <v>1360</v>
      </c>
      <c r="D35" t="s">
        <v>1361</v>
      </c>
      <c r="E35" t="s">
        <v>1297</v>
      </c>
      <c r="F35" t="s">
        <v>1362</v>
      </c>
      <c r="G35" t="s">
        <v>1299</v>
      </c>
      <c r="H35" t="s">
        <v>1300</v>
      </c>
      <c r="I35" t="s">
        <v>1301</v>
      </c>
      <c r="J35" t="s">
        <v>1363</v>
      </c>
      <c r="K35" t="s">
        <v>1303</v>
      </c>
    </row>
    <row r="36" spans="1:61">
      <c r="A36" t="s">
        <v>1368</v>
      </c>
      <c r="B36" s="15">
        <f>B30</f>
        <v>38202.388888888891</v>
      </c>
      <c r="C36" s="15">
        <f>D30</f>
        <v>46459.375</v>
      </c>
      <c r="D36" s="15">
        <f>F30</f>
        <v>3.5</v>
      </c>
      <c r="E36" s="15">
        <f>H30</f>
        <v>2085.5555555555557</v>
      </c>
      <c r="F36" s="15">
        <f>J30</f>
        <v>550.57142857142856</v>
      </c>
      <c r="G36" s="15">
        <f>L30</f>
        <v>875.4545454545455</v>
      </c>
      <c r="H36" s="15">
        <f>N30</f>
        <v>102.5</v>
      </c>
      <c r="I36" s="15">
        <f>P30</f>
        <v>13566.666666666666</v>
      </c>
      <c r="J36" s="15">
        <f>R30</f>
        <v>2090</v>
      </c>
      <c r="K36" s="15">
        <f>T30</f>
        <v>29322</v>
      </c>
    </row>
    <row r="37" spans="1:61">
      <c r="A37" t="s">
        <v>1369</v>
      </c>
      <c r="B37" s="15">
        <f>C30</f>
        <v>44809.882352941175</v>
      </c>
      <c r="C37" s="15">
        <f>E30</f>
        <v>53921.071428571428</v>
      </c>
      <c r="D37" s="15">
        <f>G30</f>
        <v>2</v>
      </c>
      <c r="E37" s="15">
        <f>I30</f>
        <v>4305.5555555555557</v>
      </c>
      <c r="F37" s="15">
        <f>K30</f>
        <v>6820.8</v>
      </c>
      <c r="G37" s="15">
        <f>M30</f>
        <v>14668.888888888889</v>
      </c>
      <c r="H37" s="15">
        <f>O30</f>
        <v>196</v>
      </c>
      <c r="I37" s="15">
        <f>Q30</f>
        <v>30325</v>
      </c>
      <c r="J37" s="15">
        <f>S30</f>
        <v>38233.333333333336</v>
      </c>
      <c r="K37" s="15">
        <f>U30</f>
        <v>37685.714285714283</v>
      </c>
    </row>
    <row r="38" spans="1:61">
      <c r="A38" t="s">
        <v>1370</v>
      </c>
      <c r="B38" s="65" t="s">
        <v>1293</v>
      </c>
      <c r="C38" s="65" t="s">
        <v>1293</v>
      </c>
      <c r="D38">
        <v>4</v>
      </c>
      <c r="E38" s="15">
        <f>Y30</f>
        <v>4.2857142857142856</v>
      </c>
      <c r="F38" s="15">
        <f>Z30</f>
        <v>1</v>
      </c>
      <c r="G38" s="15">
        <f>AA30</f>
        <v>0</v>
      </c>
      <c r="H38" s="65" t="s">
        <v>1293</v>
      </c>
      <c r="I38" s="65" t="s">
        <v>1293</v>
      </c>
      <c r="J38" s="65" t="s">
        <v>1293</v>
      </c>
      <c r="K38" s="15">
        <f>AE30</f>
        <v>8</v>
      </c>
    </row>
    <row r="39" spans="1:61">
      <c r="B39" s="65"/>
      <c r="C39" s="65"/>
      <c r="E39" s="15"/>
      <c r="F39" s="15"/>
      <c r="G39" s="15"/>
      <c r="H39" s="65"/>
      <c r="I39" s="65"/>
      <c r="J39" s="65"/>
      <c r="K39" s="15"/>
    </row>
    <row r="40" spans="1:61">
      <c r="B40" t="s">
        <v>1294</v>
      </c>
      <c r="C40" t="s">
        <v>1360</v>
      </c>
      <c r="D40" t="s">
        <v>1297</v>
      </c>
      <c r="E40" t="s">
        <v>1362</v>
      </c>
      <c r="F40" t="s">
        <v>1299</v>
      </c>
      <c r="G40" t="s">
        <v>1300</v>
      </c>
      <c r="H40" t="s">
        <v>1301</v>
      </c>
      <c r="I40" t="s">
        <v>1363</v>
      </c>
      <c r="J40" t="s">
        <v>1303</v>
      </c>
      <c r="K40" t="s">
        <v>978</v>
      </c>
    </row>
    <row r="41" spans="1:61">
      <c r="A41" t="s">
        <v>1365</v>
      </c>
      <c r="B41" s="15">
        <f>AF30</f>
        <v>18.307692307692307</v>
      </c>
      <c r="C41" s="15">
        <f>AI30</f>
        <v>18.2</v>
      </c>
      <c r="D41" s="15">
        <f>AO30</f>
        <v>30.285714285714285</v>
      </c>
      <c r="E41" s="15">
        <f>AR30</f>
        <v>0.83333333333333337</v>
      </c>
      <c r="F41" s="15">
        <f>AU30</f>
        <v>16.5</v>
      </c>
      <c r="G41" s="15">
        <f>AX30</f>
        <v>10.333333333333334</v>
      </c>
      <c r="H41" s="15">
        <f>BA30</f>
        <v>2.8333333333333335</v>
      </c>
      <c r="I41" s="15">
        <f>BD30</f>
        <v>3.3333333333333335</v>
      </c>
      <c r="J41" s="15">
        <f>BG30</f>
        <v>25.5</v>
      </c>
      <c r="K41" s="15">
        <f>SUM(B41:J41)/9</f>
        <v>14.014082214082212</v>
      </c>
    </row>
    <row r="42" spans="1:61">
      <c r="A42" t="s">
        <v>1366</v>
      </c>
      <c r="B42" s="15">
        <f>AG30</f>
        <v>35.153846153846153</v>
      </c>
      <c r="C42" s="15">
        <f>AJ30</f>
        <v>16.3</v>
      </c>
      <c r="D42" s="15">
        <f>AP30</f>
        <v>40.857142857142854</v>
      </c>
      <c r="E42" s="15">
        <f>AS30</f>
        <v>15</v>
      </c>
      <c r="F42" s="15">
        <f>AV30</f>
        <v>22.5</v>
      </c>
      <c r="G42" s="15">
        <f>AY30</f>
        <v>85</v>
      </c>
      <c r="H42" s="15">
        <f>BB30</f>
        <v>53.5</v>
      </c>
      <c r="I42" s="15">
        <f>BE30</f>
        <v>15</v>
      </c>
      <c r="J42" s="15">
        <f>BH30</f>
        <v>73.25</v>
      </c>
      <c r="K42" s="15">
        <f>SUM(B42:J42)/9</f>
        <v>39.617887667887672</v>
      </c>
    </row>
    <row r="43" spans="1:61">
      <c r="A43" t="s">
        <v>1367</v>
      </c>
      <c r="B43" s="15">
        <f>AH30</f>
        <v>46.53846153846154</v>
      </c>
      <c r="C43" s="15">
        <f>AK30</f>
        <v>65.5</v>
      </c>
      <c r="D43" s="15">
        <f>AQ30</f>
        <v>28.857142857142858</v>
      </c>
      <c r="E43" s="15">
        <f>AT30</f>
        <v>84.166666666666671</v>
      </c>
      <c r="F43" s="15">
        <f>AW30</f>
        <v>61</v>
      </c>
      <c r="G43" s="15">
        <f>AZ30</f>
        <v>4.666666666666667</v>
      </c>
      <c r="H43" s="15">
        <f>BC30</f>
        <v>43.833333333333336</v>
      </c>
      <c r="I43" s="15">
        <f>BF30</f>
        <v>81.666666666666671</v>
      </c>
      <c r="J43" s="15">
        <f>BI30</f>
        <v>1.25</v>
      </c>
      <c r="K43" s="15">
        <f>SUM(B43:J43)/9</f>
        <v>46.386548636548639</v>
      </c>
    </row>
    <row r="44" spans="1:61">
      <c r="B44" s="15">
        <f>SUM(B41:B43)</f>
        <v>100</v>
      </c>
      <c r="C44" s="15">
        <f t="shared" ref="C44:K44" si="3">SUM(C41:C43)</f>
        <v>100</v>
      </c>
      <c r="D44" s="15">
        <f t="shared" si="3"/>
        <v>100</v>
      </c>
      <c r="E44" s="15">
        <f t="shared" si="3"/>
        <v>100</v>
      </c>
      <c r="F44" s="15">
        <f t="shared" si="3"/>
        <v>100</v>
      </c>
      <c r="G44" s="15">
        <f t="shared" si="3"/>
        <v>100</v>
      </c>
      <c r="H44" s="15">
        <f t="shared" si="3"/>
        <v>100.16666666666667</v>
      </c>
      <c r="I44" s="15">
        <f t="shared" si="3"/>
        <v>100</v>
      </c>
      <c r="J44" s="15">
        <f t="shared" si="3"/>
        <v>100</v>
      </c>
      <c r="K44" s="15">
        <f t="shared" si="3"/>
        <v>100.01851851851852</v>
      </c>
    </row>
    <row r="46" spans="1:61">
      <c r="A46" s="1" t="s">
        <v>1371</v>
      </c>
    </row>
    <row r="47" spans="1:61">
      <c r="B47" s="3" t="s">
        <v>978</v>
      </c>
      <c r="C47" t="s">
        <v>1362</v>
      </c>
      <c r="D47" t="s">
        <v>1301</v>
      </c>
      <c r="E47" t="s">
        <v>1363</v>
      </c>
      <c r="F47" t="s">
        <v>1300</v>
      </c>
      <c r="G47" t="s">
        <v>1299</v>
      </c>
      <c r="H47" t="s">
        <v>1294</v>
      </c>
      <c r="I47" t="s">
        <v>1360</v>
      </c>
      <c r="J47" t="s">
        <v>1303</v>
      </c>
      <c r="K47" t="s">
        <v>1297</v>
      </c>
    </row>
    <row r="48" spans="1:61">
      <c r="A48" t="s">
        <v>1365</v>
      </c>
      <c r="B48" s="15">
        <f>SUM(C48:K48)/9</f>
        <v>13.99185999185999</v>
      </c>
      <c r="C48" s="15">
        <v>0.83333333333333337</v>
      </c>
      <c r="D48" s="15">
        <v>2.8333333333333335</v>
      </c>
      <c r="E48" s="15">
        <v>3.3333333333333335</v>
      </c>
      <c r="F48" s="15">
        <v>10.333333333333334</v>
      </c>
      <c r="G48" s="15">
        <v>16.5</v>
      </c>
      <c r="H48" s="15">
        <v>18.307692307692307</v>
      </c>
      <c r="I48" s="15">
        <v>18</v>
      </c>
      <c r="J48" s="15">
        <v>25.5</v>
      </c>
      <c r="K48" s="15">
        <v>30.285714285714285</v>
      </c>
    </row>
    <row r="49" spans="1:11">
      <c r="A49" t="s">
        <v>1366</v>
      </c>
      <c r="B49" s="15">
        <f>SUM(C49:K49)/9</f>
        <v>39.584554334554333</v>
      </c>
      <c r="C49" s="15">
        <v>15</v>
      </c>
      <c r="D49" s="15">
        <v>53.5</v>
      </c>
      <c r="E49" s="15">
        <v>15</v>
      </c>
      <c r="F49" s="15">
        <v>85</v>
      </c>
      <c r="G49" s="15">
        <v>22.5</v>
      </c>
      <c r="H49" s="15">
        <v>35.153846153846153</v>
      </c>
      <c r="I49" s="15">
        <v>16</v>
      </c>
      <c r="J49" s="15">
        <v>73.25</v>
      </c>
      <c r="K49" s="15">
        <v>40.857142857142854</v>
      </c>
    </row>
    <row r="50" spans="1:11">
      <c r="A50" t="s">
        <v>1367</v>
      </c>
      <c r="B50" s="15">
        <f>SUM(C50:K50)/9</f>
        <v>46.442104192104196</v>
      </c>
      <c r="C50" s="15">
        <v>84.166666666666671</v>
      </c>
      <c r="D50" s="15">
        <v>43.833333333333336</v>
      </c>
      <c r="E50" s="15">
        <v>81.666666666666671</v>
      </c>
      <c r="F50" s="15">
        <v>4.666666666666667</v>
      </c>
      <c r="G50" s="15">
        <v>61</v>
      </c>
      <c r="H50" s="15">
        <v>46.53846153846154</v>
      </c>
      <c r="I50" s="15">
        <v>66</v>
      </c>
      <c r="J50" s="15">
        <v>1.25</v>
      </c>
      <c r="K50" s="15">
        <v>28.857142857142858</v>
      </c>
    </row>
  </sheetData>
  <sortState ref="A7:BJ56">
    <sortCondition ref="B7:B56"/>
  </sortState>
  <pageMargins left="0.7" right="0.7" top="0.75" bottom="0.75" header="0.3" footer="0.3"/>
  <pageSetup paperSize="9" orientation="portrait" horizontalDpi="0" verticalDpi="0" r:id="rId1"/>
  <drawing r:id="rId2"/>
</worksheet>
</file>

<file path=xl/worksheets/sheet22.xml><?xml version="1.0" encoding="utf-8"?>
<worksheet xmlns="http://schemas.openxmlformats.org/spreadsheetml/2006/main" xmlns:r="http://schemas.openxmlformats.org/officeDocument/2006/relationships">
  <dimension ref="A1:AW57"/>
  <sheetViews>
    <sheetView workbookViewId="0"/>
  </sheetViews>
  <sheetFormatPr defaultRowHeight="14.4"/>
  <cols>
    <col min="1" max="1" width="17" customWidth="1"/>
  </cols>
  <sheetData>
    <row r="1" spans="1:49">
      <c r="A1" s="3" t="s">
        <v>1414</v>
      </c>
    </row>
    <row r="2" spans="1:49">
      <c r="A2" t="s">
        <v>1356</v>
      </c>
    </row>
    <row r="3" spans="1:49">
      <c r="A3" t="s">
        <v>1305</v>
      </c>
    </row>
    <row r="4" spans="1:49">
      <c r="A4" t="s">
        <v>1372</v>
      </c>
    </row>
    <row r="6" spans="1:49">
      <c r="B6" t="s">
        <v>217</v>
      </c>
      <c r="C6" t="s">
        <v>218</v>
      </c>
      <c r="D6" t="s">
        <v>219</v>
      </c>
      <c r="E6" t="s">
        <v>220</v>
      </c>
      <c r="F6" t="s">
        <v>221</v>
      </c>
      <c r="G6" t="s">
        <v>222</v>
      </c>
      <c r="H6" t="s">
        <v>223</v>
      </c>
      <c r="I6" t="s">
        <v>224</v>
      </c>
      <c r="J6" t="s">
        <v>225</v>
      </c>
      <c r="K6" t="s">
        <v>226</v>
      </c>
      <c r="L6" t="s">
        <v>227</v>
      </c>
      <c r="M6" t="s">
        <v>228</v>
      </c>
      <c r="N6" t="s">
        <v>229</v>
      </c>
      <c r="O6" t="s">
        <v>230</v>
      </c>
      <c r="P6" t="s">
        <v>231</v>
      </c>
      <c r="Q6" t="s">
        <v>232</v>
      </c>
      <c r="R6" t="s">
        <v>233</v>
      </c>
      <c r="S6" t="s">
        <v>234</v>
      </c>
      <c r="T6" t="s">
        <v>235</v>
      </c>
      <c r="U6" t="s">
        <v>236</v>
      </c>
      <c r="V6" t="s">
        <v>237</v>
      </c>
      <c r="W6" t="s">
        <v>238</v>
      </c>
      <c r="X6" t="s">
        <v>239</v>
      </c>
      <c r="Y6" t="s">
        <v>240</v>
      </c>
      <c r="Z6" t="s">
        <v>241</v>
      </c>
      <c r="AA6" t="s">
        <v>242</v>
      </c>
      <c r="AB6" t="s">
        <v>243</v>
      </c>
      <c r="AC6" t="s">
        <v>244</v>
      </c>
      <c r="AD6" t="s">
        <v>245</v>
      </c>
      <c r="AE6" t="s">
        <v>246</v>
      </c>
      <c r="AF6" t="s">
        <v>247</v>
      </c>
      <c r="AG6" t="s">
        <v>248</v>
      </c>
      <c r="AH6" t="s">
        <v>249</v>
      </c>
      <c r="AI6" t="s">
        <v>250</v>
      </c>
      <c r="AJ6" t="s">
        <v>251</v>
      </c>
      <c r="AK6" t="s">
        <v>252</v>
      </c>
      <c r="AL6" t="s">
        <v>253</v>
      </c>
      <c r="AM6" t="s">
        <v>254</v>
      </c>
      <c r="AN6" t="s">
        <v>255</v>
      </c>
      <c r="AO6" t="s">
        <v>256</v>
      </c>
      <c r="AP6" t="s">
        <v>257</v>
      </c>
      <c r="AQ6" t="s">
        <v>258</v>
      </c>
      <c r="AR6" t="s">
        <v>259</v>
      </c>
      <c r="AS6" t="s">
        <v>260</v>
      </c>
      <c r="AT6" t="s">
        <v>261</v>
      </c>
      <c r="AU6" t="s">
        <v>262</v>
      </c>
      <c r="AV6" t="s">
        <v>263</v>
      </c>
      <c r="AW6" t="s">
        <v>264</v>
      </c>
    </row>
    <row r="7" spans="1:49">
      <c r="B7" t="s">
        <v>749</v>
      </c>
      <c r="C7" t="s">
        <v>750</v>
      </c>
      <c r="D7" t="s">
        <v>751</v>
      </c>
      <c r="E7" t="s">
        <v>752</v>
      </c>
      <c r="F7" t="s">
        <v>753</v>
      </c>
      <c r="G7" t="s">
        <v>754</v>
      </c>
      <c r="H7" t="s">
        <v>755</v>
      </c>
      <c r="I7" t="s">
        <v>756</v>
      </c>
      <c r="J7" t="s">
        <v>757</v>
      </c>
      <c r="K7" t="s">
        <v>758</v>
      </c>
      <c r="L7" t="s">
        <v>759</v>
      </c>
      <c r="M7" t="s">
        <v>760</v>
      </c>
      <c r="N7" t="s">
        <v>761</v>
      </c>
      <c r="O7" t="s">
        <v>762</v>
      </c>
      <c r="P7" t="s">
        <v>763</v>
      </c>
      <c r="Q7" t="s">
        <v>764</v>
      </c>
      <c r="R7" t="s">
        <v>757</v>
      </c>
      <c r="S7" t="s">
        <v>765</v>
      </c>
      <c r="T7" t="s">
        <v>759</v>
      </c>
      <c r="U7" t="s">
        <v>760</v>
      </c>
      <c r="V7" t="s">
        <v>761</v>
      </c>
      <c r="W7" t="s">
        <v>762</v>
      </c>
      <c r="X7" t="s">
        <v>763</v>
      </c>
      <c r="Y7" t="s">
        <v>764</v>
      </c>
      <c r="Z7" t="s">
        <v>766</v>
      </c>
      <c r="AA7" t="s">
        <v>766</v>
      </c>
      <c r="AB7" t="s">
        <v>766</v>
      </c>
      <c r="AC7" t="s">
        <v>767</v>
      </c>
      <c r="AD7" t="s">
        <v>767</v>
      </c>
      <c r="AE7" t="s">
        <v>767</v>
      </c>
      <c r="AF7" t="s">
        <v>768</v>
      </c>
      <c r="AG7" t="s">
        <v>768</v>
      </c>
      <c r="AH7" t="s">
        <v>768</v>
      </c>
      <c r="AI7" t="s">
        <v>769</v>
      </c>
      <c r="AJ7" t="s">
        <v>769</v>
      </c>
      <c r="AK7" t="s">
        <v>769</v>
      </c>
      <c r="AL7" t="s">
        <v>770</v>
      </c>
      <c r="AM7" t="s">
        <v>770</v>
      </c>
      <c r="AN7" t="s">
        <v>770</v>
      </c>
      <c r="AO7" t="s">
        <v>771</v>
      </c>
      <c r="AP7" t="s">
        <v>771</v>
      </c>
      <c r="AQ7" t="s">
        <v>771</v>
      </c>
      <c r="AR7" t="s">
        <v>772</v>
      </c>
      <c r="AS7" t="s">
        <v>772</v>
      </c>
      <c r="AT7" t="s">
        <v>772</v>
      </c>
      <c r="AU7" t="s">
        <v>773</v>
      </c>
      <c r="AV7" t="s">
        <v>773</v>
      </c>
      <c r="AW7" t="s">
        <v>773</v>
      </c>
    </row>
    <row r="8" spans="1:49">
      <c r="A8" t="s">
        <v>972</v>
      </c>
      <c r="B8">
        <v>0</v>
      </c>
      <c r="J8">
        <v>100</v>
      </c>
      <c r="R8">
        <v>0</v>
      </c>
    </row>
    <row r="9" spans="1:49">
      <c r="A9" t="s">
        <v>974</v>
      </c>
      <c r="B9">
        <v>0</v>
      </c>
      <c r="C9">
        <v>0</v>
      </c>
      <c r="D9">
        <v>0</v>
      </c>
      <c r="E9">
        <v>0</v>
      </c>
      <c r="F9">
        <v>0</v>
      </c>
      <c r="G9">
        <v>0</v>
      </c>
      <c r="I9">
        <v>0</v>
      </c>
    </row>
    <row r="10" spans="1:49">
      <c r="A10" t="s">
        <v>974</v>
      </c>
      <c r="B10">
        <v>10</v>
      </c>
      <c r="C10">
        <v>10</v>
      </c>
      <c r="D10">
        <v>0</v>
      </c>
      <c r="E10">
        <v>0</v>
      </c>
      <c r="F10">
        <v>2500</v>
      </c>
      <c r="G10">
        <v>0</v>
      </c>
      <c r="J10">
        <v>50</v>
      </c>
      <c r="K10">
        <v>50</v>
      </c>
      <c r="L10">
        <v>500</v>
      </c>
      <c r="M10">
        <v>20</v>
      </c>
      <c r="N10">
        <v>50000</v>
      </c>
      <c r="O10">
        <v>250</v>
      </c>
      <c r="R10">
        <v>0</v>
      </c>
      <c r="T10">
        <v>0</v>
      </c>
      <c r="U10">
        <v>0</v>
      </c>
      <c r="V10">
        <v>0</v>
      </c>
      <c r="W10">
        <v>0</v>
      </c>
      <c r="Z10">
        <v>0</v>
      </c>
      <c r="AA10">
        <v>100</v>
      </c>
      <c r="AB10">
        <v>0</v>
      </c>
      <c r="AC10">
        <v>0</v>
      </c>
      <c r="AD10">
        <v>100</v>
      </c>
      <c r="AE10">
        <v>0</v>
      </c>
      <c r="AF10">
        <v>1</v>
      </c>
      <c r="AG10">
        <v>70</v>
      </c>
      <c r="AH10">
        <v>30</v>
      </c>
      <c r="AI10">
        <v>0</v>
      </c>
      <c r="AJ10">
        <v>100</v>
      </c>
      <c r="AK10">
        <v>0</v>
      </c>
      <c r="AL10">
        <v>5</v>
      </c>
      <c r="AM10">
        <v>50</v>
      </c>
      <c r="AN10">
        <v>45</v>
      </c>
      <c r="AO10">
        <v>0</v>
      </c>
      <c r="AP10">
        <v>100</v>
      </c>
      <c r="AQ10">
        <v>0</v>
      </c>
    </row>
    <row r="11" spans="1:49">
      <c r="A11" t="s">
        <v>972</v>
      </c>
      <c r="B11">
        <v>50</v>
      </c>
      <c r="C11">
        <v>15</v>
      </c>
      <c r="D11">
        <v>30</v>
      </c>
      <c r="E11">
        <v>100</v>
      </c>
      <c r="F11">
        <v>600</v>
      </c>
      <c r="Z11">
        <v>0</v>
      </c>
      <c r="AA11">
        <v>100</v>
      </c>
      <c r="AB11">
        <v>0</v>
      </c>
      <c r="AC11">
        <v>0</v>
      </c>
      <c r="AD11">
        <v>100</v>
      </c>
      <c r="AE11">
        <v>0</v>
      </c>
      <c r="AF11">
        <v>0</v>
      </c>
      <c r="AG11">
        <v>100</v>
      </c>
      <c r="AH11">
        <v>0</v>
      </c>
      <c r="AI11">
        <v>0</v>
      </c>
      <c r="AJ11">
        <v>100</v>
      </c>
      <c r="AK11">
        <v>0</v>
      </c>
      <c r="AL11">
        <v>0</v>
      </c>
      <c r="AM11">
        <v>100</v>
      </c>
      <c r="AN11">
        <v>0</v>
      </c>
    </row>
    <row r="12" spans="1:49">
      <c r="A12" t="s">
        <v>972</v>
      </c>
      <c r="B12">
        <v>150</v>
      </c>
      <c r="C12">
        <v>10</v>
      </c>
      <c r="D12">
        <v>400</v>
      </c>
      <c r="E12">
        <v>35</v>
      </c>
      <c r="F12">
        <v>4000</v>
      </c>
      <c r="I12">
        <v>0</v>
      </c>
      <c r="J12">
        <v>150</v>
      </c>
      <c r="K12">
        <v>10</v>
      </c>
      <c r="L12">
        <v>100</v>
      </c>
      <c r="M12">
        <v>35</v>
      </c>
      <c r="N12">
        <v>3500</v>
      </c>
      <c r="Q12">
        <v>0</v>
      </c>
      <c r="R12">
        <v>0</v>
      </c>
      <c r="T12">
        <v>0</v>
      </c>
      <c r="U12">
        <v>0</v>
      </c>
      <c r="V12">
        <v>7000</v>
      </c>
      <c r="Y12">
        <v>0</v>
      </c>
      <c r="Z12">
        <v>0</v>
      </c>
      <c r="AA12">
        <v>100</v>
      </c>
      <c r="AB12">
        <v>0</v>
      </c>
      <c r="AC12">
        <v>0</v>
      </c>
      <c r="AD12">
        <v>100</v>
      </c>
      <c r="AE12">
        <v>0</v>
      </c>
      <c r="AF12">
        <v>3</v>
      </c>
      <c r="AG12">
        <v>90</v>
      </c>
      <c r="AH12">
        <v>7</v>
      </c>
    </row>
    <row r="13" spans="1:49">
      <c r="A13" t="s">
        <v>972</v>
      </c>
      <c r="B13">
        <v>200</v>
      </c>
      <c r="C13">
        <v>18000</v>
      </c>
      <c r="D13">
        <v>1200</v>
      </c>
      <c r="F13">
        <v>10000</v>
      </c>
      <c r="H13">
        <v>400</v>
      </c>
      <c r="J13">
        <v>200</v>
      </c>
      <c r="K13">
        <v>18000</v>
      </c>
      <c r="L13">
        <v>1200</v>
      </c>
      <c r="N13">
        <v>100000</v>
      </c>
      <c r="P13">
        <v>400</v>
      </c>
      <c r="R13">
        <v>0</v>
      </c>
      <c r="T13">
        <v>0</v>
      </c>
      <c r="V13">
        <v>0</v>
      </c>
      <c r="X13">
        <v>0</v>
      </c>
      <c r="Z13">
        <v>90</v>
      </c>
      <c r="AA13">
        <v>10</v>
      </c>
      <c r="AB13">
        <v>0</v>
      </c>
      <c r="AC13">
        <v>90</v>
      </c>
      <c r="AD13">
        <v>10</v>
      </c>
      <c r="AE13">
        <v>0</v>
      </c>
      <c r="AF13">
        <v>35</v>
      </c>
      <c r="AG13">
        <v>65</v>
      </c>
      <c r="AH13">
        <v>0</v>
      </c>
      <c r="AL13">
        <v>10</v>
      </c>
      <c r="AM13">
        <v>40</v>
      </c>
      <c r="AN13">
        <v>50</v>
      </c>
      <c r="AR13">
        <v>0</v>
      </c>
      <c r="AS13">
        <v>0</v>
      </c>
      <c r="AT13">
        <v>100</v>
      </c>
    </row>
    <row r="14" spans="1:49">
      <c r="A14" t="s">
        <v>972</v>
      </c>
      <c r="B14">
        <v>304</v>
      </c>
      <c r="C14">
        <v>241</v>
      </c>
      <c r="D14">
        <v>1</v>
      </c>
      <c r="E14">
        <v>1445</v>
      </c>
      <c r="F14">
        <v>35</v>
      </c>
      <c r="G14">
        <v>28</v>
      </c>
      <c r="H14">
        <v>1</v>
      </c>
      <c r="I14">
        <v>0</v>
      </c>
      <c r="J14">
        <v>304</v>
      </c>
      <c r="K14">
        <v>241</v>
      </c>
      <c r="L14">
        <v>1</v>
      </c>
      <c r="M14">
        <v>1445</v>
      </c>
      <c r="N14">
        <v>35</v>
      </c>
      <c r="O14">
        <v>25</v>
      </c>
      <c r="P14">
        <v>3</v>
      </c>
      <c r="Q14">
        <v>0</v>
      </c>
      <c r="R14">
        <v>304</v>
      </c>
      <c r="T14">
        <v>0</v>
      </c>
      <c r="U14">
        <v>0</v>
      </c>
      <c r="V14">
        <v>8</v>
      </c>
      <c r="W14">
        <v>5</v>
      </c>
      <c r="X14">
        <v>0</v>
      </c>
      <c r="Y14">
        <v>0</v>
      </c>
      <c r="Z14">
        <v>100</v>
      </c>
      <c r="AA14">
        <v>0</v>
      </c>
      <c r="AB14">
        <v>0</v>
      </c>
      <c r="AC14">
        <v>100</v>
      </c>
      <c r="AD14">
        <v>0</v>
      </c>
      <c r="AE14">
        <v>0</v>
      </c>
      <c r="AF14">
        <v>100</v>
      </c>
      <c r="AG14">
        <v>0</v>
      </c>
      <c r="AH14">
        <v>0</v>
      </c>
      <c r="AI14">
        <v>100</v>
      </c>
      <c r="AJ14">
        <v>0</v>
      </c>
      <c r="AK14">
        <v>0</v>
      </c>
      <c r="AL14">
        <v>100</v>
      </c>
      <c r="AM14">
        <v>0</v>
      </c>
      <c r="AN14">
        <v>0</v>
      </c>
      <c r="AO14">
        <v>100</v>
      </c>
      <c r="AP14">
        <v>0</v>
      </c>
      <c r="AQ14">
        <v>0</v>
      </c>
      <c r="AR14">
        <v>100</v>
      </c>
      <c r="AS14">
        <v>0</v>
      </c>
      <c r="AT14">
        <v>0</v>
      </c>
    </row>
    <row r="15" spans="1:49">
      <c r="A15" t="s">
        <v>972</v>
      </c>
      <c r="B15">
        <v>350</v>
      </c>
      <c r="C15">
        <v>50</v>
      </c>
      <c r="E15">
        <v>400</v>
      </c>
      <c r="J15">
        <v>350</v>
      </c>
      <c r="K15">
        <v>50</v>
      </c>
      <c r="M15">
        <v>400</v>
      </c>
      <c r="Z15">
        <v>100</v>
      </c>
      <c r="AA15">
        <v>0</v>
      </c>
      <c r="AB15">
        <v>0</v>
      </c>
      <c r="AC15">
        <v>100</v>
      </c>
      <c r="AD15">
        <v>0</v>
      </c>
      <c r="AE15">
        <v>0</v>
      </c>
      <c r="AI15">
        <v>100</v>
      </c>
      <c r="AJ15">
        <v>0</v>
      </c>
      <c r="AK15">
        <v>0</v>
      </c>
    </row>
    <row r="16" spans="1:49">
      <c r="A16" t="s">
        <v>973</v>
      </c>
      <c r="B16">
        <v>500</v>
      </c>
      <c r="C16">
        <v>18500</v>
      </c>
      <c r="D16">
        <v>82000</v>
      </c>
      <c r="E16">
        <v>2000</v>
      </c>
      <c r="F16">
        <v>48000</v>
      </c>
      <c r="G16">
        <v>3000</v>
      </c>
      <c r="I16">
        <v>20000</v>
      </c>
      <c r="J16">
        <v>1000</v>
      </c>
      <c r="K16">
        <v>37000</v>
      </c>
      <c r="L16">
        <v>98500</v>
      </c>
      <c r="M16">
        <v>1000</v>
      </c>
      <c r="N16">
        <v>49000</v>
      </c>
      <c r="O16">
        <v>13000</v>
      </c>
      <c r="Q16">
        <v>20000</v>
      </c>
      <c r="R16">
        <v>0</v>
      </c>
      <c r="T16">
        <v>0</v>
      </c>
      <c r="U16">
        <v>0</v>
      </c>
      <c r="V16">
        <v>400</v>
      </c>
      <c r="W16">
        <v>0</v>
      </c>
      <c r="X16">
        <v>0</v>
      </c>
      <c r="Y16">
        <v>0</v>
      </c>
      <c r="Z16">
        <v>5</v>
      </c>
      <c r="AA16">
        <v>95</v>
      </c>
      <c r="AB16">
        <v>0</v>
      </c>
      <c r="AC16">
        <v>20</v>
      </c>
      <c r="AD16">
        <v>80</v>
      </c>
      <c r="AE16">
        <v>0</v>
      </c>
      <c r="AF16">
        <v>5</v>
      </c>
      <c r="AG16">
        <v>95</v>
      </c>
      <c r="AH16">
        <v>0</v>
      </c>
      <c r="AI16">
        <v>90</v>
      </c>
      <c r="AJ16">
        <v>10</v>
      </c>
      <c r="AK16">
        <v>0</v>
      </c>
      <c r="AL16">
        <v>2</v>
      </c>
      <c r="AM16">
        <v>50</v>
      </c>
      <c r="AN16">
        <v>48</v>
      </c>
      <c r="AU16">
        <v>0</v>
      </c>
      <c r="AV16">
        <v>25</v>
      </c>
      <c r="AW16">
        <v>75</v>
      </c>
    </row>
    <row r="17" spans="1:49">
      <c r="A17" t="s">
        <v>973</v>
      </c>
      <c r="B17">
        <v>1000</v>
      </c>
      <c r="C17">
        <v>200</v>
      </c>
      <c r="D17">
        <v>12000</v>
      </c>
      <c r="E17">
        <v>1000</v>
      </c>
      <c r="F17">
        <v>120000</v>
      </c>
      <c r="G17">
        <v>500</v>
      </c>
      <c r="J17">
        <v>1000</v>
      </c>
      <c r="K17">
        <v>200</v>
      </c>
      <c r="L17">
        <v>12000</v>
      </c>
      <c r="M17">
        <v>1000</v>
      </c>
      <c r="N17">
        <v>120000</v>
      </c>
      <c r="O17">
        <v>500</v>
      </c>
      <c r="R17">
        <v>0</v>
      </c>
      <c r="T17">
        <v>0</v>
      </c>
      <c r="U17">
        <v>0</v>
      </c>
      <c r="V17">
        <v>5000</v>
      </c>
      <c r="W17">
        <v>0</v>
      </c>
      <c r="Z17">
        <v>100</v>
      </c>
      <c r="AA17">
        <v>0</v>
      </c>
      <c r="AB17">
        <v>0</v>
      </c>
      <c r="AC17">
        <v>100</v>
      </c>
      <c r="AD17">
        <v>0</v>
      </c>
      <c r="AE17">
        <v>0</v>
      </c>
      <c r="AF17">
        <v>100</v>
      </c>
      <c r="AG17">
        <v>0</v>
      </c>
      <c r="AH17">
        <v>0</v>
      </c>
      <c r="AI17">
        <v>100</v>
      </c>
      <c r="AJ17">
        <v>0</v>
      </c>
      <c r="AK17">
        <v>0</v>
      </c>
      <c r="AL17">
        <v>100</v>
      </c>
      <c r="AM17">
        <v>0</v>
      </c>
      <c r="AN17">
        <v>0</v>
      </c>
      <c r="AO17">
        <v>100</v>
      </c>
      <c r="AP17">
        <v>0</v>
      </c>
      <c r="AQ17">
        <v>0</v>
      </c>
    </row>
    <row r="18" spans="1:49">
      <c r="A18" t="s">
        <v>972</v>
      </c>
      <c r="B18">
        <v>2600</v>
      </c>
      <c r="C18">
        <v>2000</v>
      </c>
      <c r="E18">
        <v>1800</v>
      </c>
      <c r="F18">
        <v>1000</v>
      </c>
      <c r="J18">
        <v>2600</v>
      </c>
      <c r="K18">
        <v>2000</v>
      </c>
      <c r="M18">
        <v>1800</v>
      </c>
      <c r="N18">
        <v>1000</v>
      </c>
      <c r="Z18">
        <v>98</v>
      </c>
      <c r="AA18">
        <v>2</v>
      </c>
      <c r="AB18">
        <v>0</v>
      </c>
      <c r="AC18">
        <v>98</v>
      </c>
      <c r="AD18">
        <v>2</v>
      </c>
      <c r="AE18">
        <v>0</v>
      </c>
      <c r="AI18">
        <v>98</v>
      </c>
      <c r="AJ18">
        <v>2</v>
      </c>
      <c r="AK18">
        <v>0</v>
      </c>
      <c r="AL18">
        <v>98</v>
      </c>
      <c r="AM18">
        <v>2</v>
      </c>
      <c r="AN18">
        <v>0</v>
      </c>
    </row>
    <row r="19" spans="1:49">
      <c r="A19" t="s">
        <v>972</v>
      </c>
      <c r="B19">
        <v>5500</v>
      </c>
      <c r="C19">
        <v>22000</v>
      </c>
      <c r="E19">
        <v>2700</v>
      </c>
      <c r="F19">
        <v>1500</v>
      </c>
      <c r="G19">
        <v>500</v>
      </c>
      <c r="J19">
        <v>5500</v>
      </c>
      <c r="K19">
        <v>22000</v>
      </c>
      <c r="M19">
        <v>2700</v>
      </c>
      <c r="N19">
        <v>1500</v>
      </c>
      <c r="O19">
        <v>500</v>
      </c>
      <c r="R19">
        <v>0</v>
      </c>
      <c r="U19">
        <v>0</v>
      </c>
      <c r="V19">
        <v>0</v>
      </c>
      <c r="W19">
        <v>0</v>
      </c>
      <c r="Z19">
        <v>40</v>
      </c>
      <c r="AA19">
        <v>60</v>
      </c>
      <c r="AB19">
        <v>0</v>
      </c>
      <c r="AC19">
        <v>90</v>
      </c>
      <c r="AD19">
        <v>10</v>
      </c>
      <c r="AE19">
        <v>0</v>
      </c>
      <c r="AI19">
        <v>45</v>
      </c>
      <c r="AJ19">
        <v>55</v>
      </c>
      <c r="AK19">
        <v>0</v>
      </c>
      <c r="AL19">
        <v>100</v>
      </c>
      <c r="AM19">
        <v>0</v>
      </c>
      <c r="AN19">
        <v>0</v>
      </c>
      <c r="AO19">
        <v>100</v>
      </c>
      <c r="AP19">
        <v>0</v>
      </c>
      <c r="AQ19">
        <v>0</v>
      </c>
    </row>
    <row r="20" spans="1:49">
      <c r="A20" t="s">
        <v>954</v>
      </c>
      <c r="B20">
        <v>7000</v>
      </c>
      <c r="C20">
        <v>0</v>
      </c>
      <c r="E20">
        <v>0</v>
      </c>
      <c r="F20">
        <v>555000</v>
      </c>
      <c r="G20">
        <v>65000</v>
      </c>
      <c r="H20">
        <v>3697</v>
      </c>
      <c r="I20">
        <v>27000</v>
      </c>
      <c r="J20">
        <v>7000</v>
      </c>
      <c r="K20">
        <v>0</v>
      </c>
      <c r="M20">
        <v>0</v>
      </c>
      <c r="N20">
        <v>555000</v>
      </c>
      <c r="O20">
        <v>65000</v>
      </c>
      <c r="P20">
        <v>3687</v>
      </c>
      <c r="Q20">
        <v>27000</v>
      </c>
      <c r="R20">
        <v>0</v>
      </c>
      <c r="V20">
        <v>6000</v>
      </c>
      <c r="W20">
        <v>0</v>
      </c>
      <c r="X20">
        <v>0</v>
      </c>
      <c r="Y20">
        <v>0</v>
      </c>
      <c r="Z20">
        <v>5</v>
      </c>
      <c r="AA20">
        <v>95</v>
      </c>
      <c r="AB20">
        <v>0</v>
      </c>
      <c r="AL20">
        <v>37</v>
      </c>
      <c r="AM20">
        <v>63</v>
      </c>
      <c r="AN20">
        <v>0</v>
      </c>
      <c r="AO20">
        <v>10</v>
      </c>
      <c r="AP20">
        <v>50</v>
      </c>
      <c r="AQ20">
        <v>40</v>
      </c>
      <c r="AR20">
        <v>0</v>
      </c>
      <c r="AS20">
        <v>100</v>
      </c>
      <c r="AT20">
        <v>0</v>
      </c>
      <c r="AU20">
        <v>0</v>
      </c>
      <c r="AV20">
        <v>100</v>
      </c>
      <c r="AW20">
        <v>0</v>
      </c>
    </row>
    <row r="21" spans="1:49">
      <c r="A21" t="s">
        <v>972</v>
      </c>
      <c r="B21">
        <v>15000</v>
      </c>
      <c r="C21">
        <v>35000</v>
      </c>
      <c r="E21">
        <v>4000</v>
      </c>
      <c r="F21">
        <v>2000</v>
      </c>
      <c r="G21">
        <v>800</v>
      </c>
      <c r="J21">
        <v>15000</v>
      </c>
      <c r="K21">
        <v>35000</v>
      </c>
      <c r="M21">
        <v>4000</v>
      </c>
      <c r="N21">
        <v>2000</v>
      </c>
      <c r="O21">
        <v>800</v>
      </c>
      <c r="R21">
        <v>0</v>
      </c>
      <c r="U21">
        <v>0</v>
      </c>
      <c r="V21">
        <v>0</v>
      </c>
      <c r="W21">
        <v>0</v>
      </c>
      <c r="Z21">
        <v>100</v>
      </c>
      <c r="AA21">
        <v>0</v>
      </c>
      <c r="AB21">
        <v>0</v>
      </c>
      <c r="AC21">
        <v>75</v>
      </c>
      <c r="AD21">
        <v>25</v>
      </c>
      <c r="AE21">
        <v>0</v>
      </c>
      <c r="AI21">
        <v>100</v>
      </c>
      <c r="AJ21">
        <v>0</v>
      </c>
      <c r="AK21">
        <v>0</v>
      </c>
      <c r="AL21">
        <v>100</v>
      </c>
      <c r="AM21">
        <v>0</v>
      </c>
      <c r="AN21">
        <v>0</v>
      </c>
      <c r="AO21">
        <v>100</v>
      </c>
      <c r="AP21">
        <v>0</v>
      </c>
      <c r="AQ21">
        <v>0</v>
      </c>
    </row>
    <row r="22" spans="1:49">
      <c r="A22" t="s">
        <v>974</v>
      </c>
      <c r="B22">
        <v>15000</v>
      </c>
      <c r="C22">
        <v>15000</v>
      </c>
      <c r="F22">
        <v>1000000</v>
      </c>
      <c r="G22">
        <v>20000</v>
      </c>
      <c r="J22">
        <v>15000</v>
      </c>
      <c r="K22">
        <v>15000</v>
      </c>
      <c r="N22">
        <v>400000</v>
      </c>
      <c r="O22">
        <v>10000</v>
      </c>
      <c r="R22">
        <v>0</v>
      </c>
      <c r="T22">
        <v>0</v>
      </c>
      <c r="V22">
        <v>500</v>
      </c>
      <c r="W22">
        <v>0</v>
      </c>
      <c r="Z22">
        <v>80</v>
      </c>
      <c r="AA22">
        <v>20</v>
      </c>
      <c r="AB22">
        <v>0</v>
      </c>
      <c r="AC22">
        <v>80</v>
      </c>
      <c r="AD22">
        <v>20</v>
      </c>
      <c r="AE22">
        <v>0</v>
      </c>
      <c r="AF22">
        <v>80</v>
      </c>
      <c r="AG22">
        <v>20</v>
      </c>
      <c r="AH22">
        <v>0</v>
      </c>
      <c r="AL22">
        <v>25</v>
      </c>
      <c r="AM22">
        <v>25</v>
      </c>
      <c r="AN22">
        <v>50</v>
      </c>
      <c r="AO22">
        <v>20</v>
      </c>
      <c r="AP22">
        <v>80</v>
      </c>
      <c r="AQ22">
        <v>0</v>
      </c>
    </row>
    <row r="23" spans="1:49">
      <c r="A23" t="s">
        <v>972</v>
      </c>
      <c r="E23">
        <v>200</v>
      </c>
      <c r="F23">
        <v>8000</v>
      </c>
      <c r="M23">
        <v>200</v>
      </c>
      <c r="N23">
        <v>12000</v>
      </c>
      <c r="R23">
        <v>0</v>
      </c>
      <c r="T23">
        <v>0</v>
      </c>
      <c r="U23">
        <v>0</v>
      </c>
      <c r="V23">
        <v>0</v>
      </c>
      <c r="AI23">
        <v>10</v>
      </c>
      <c r="AJ23">
        <v>90</v>
      </c>
      <c r="AK23">
        <v>0</v>
      </c>
      <c r="AL23">
        <v>90</v>
      </c>
      <c r="AM23">
        <v>10</v>
      </c>
      <c r="AN23">
        <v>0</v>
      </c>
    </row>
    <row r="24" spans="1:49">
      <c r="A24" t="s">
        <v>972</v>
      </c>
      <c r="C24">
        <v>2</v>
      </c>
      <c r="E24">
        <v>11</v>
      </c>
      <c r="K24">
        <v>2</v>
      </c>
      <c r="M24">
        <v>11</v>
      </c>
      <c r="U24">
        <v>0</v>
      </c>
      <c r="AC24">
        <v>0</v>
      </c>
      <c r="AD24">
        <v>100</v>
      </c>
      <c r="AE24">
        <v>0</v>
      </c>
      <c r="AI24">
        <v>0</v>
      </c>
      <c r="AJ24">
        <v>100</v>
      </c>
      <c r="AK24">
        <v>0</v>
      </c>
    </row>
    <row r="25" spans="1:49">
      <c r="A25" t="s">
        <v>972</v>
      </c>
      <c r="C25">
        <v>10</v>
      </c>
      <c r="F25">
        <v>2500</v>
      </c>
      <c r="K25">
        <v>10</v>
      </c>
      <c r="N25">
        <v>2500</v>
      </c>
      <c r="V25">
        <v>0</v>
      </c>
      <c r="AC25">
        <v>0</v>
      </c>
      <c r="AD25">
        <v>100</v>
      </c>
      <c r="AE25">
        <v>0</v>
      </c>
      <c r="AL25">
        <v>70</v>
      </c>
      <c r="AM25">
        <v>30</v>
      </c>
      <c r="AN25">
        <v>0</v>
      </c>
    </row>
    <row r="26" spans="1:49">
      <c r="A26" t="s">
        <v>972</v>
      </c>
      <c r="E26">
        <v>292</v>
      </c>
      <c r="M26">
        <v>227</v>
      </c>
      <c r="U26">
        <v>0</v>
      </c>
      <c r="AI26">
        <v>78</v>
      </c>
      <c r="AJ26">
        <v>22</v>
      </c>
      <c r="AK26">
        <v>0</v>
      </c>
    </row>
    <row r="27" spans="1:49">
      <c r="A27" t="s">
        <v>972</v>
      </c>
      <c r="F27">
        <v>46000</v>
      </c>
      <c r="N27">
        <v>50000</v>
      </c>
      <c r="AL27">
        <v>90</v>
      </c>
      <c r="AM27">
        <v>10</v>
      </c>
      <c r="AN27">
        <v>0</v>
      </c>
    </row>
    <row r="28" spans="1:49">
      <c r="A28" t="s">
        <v>974</v>
      </c>
      <c r="F28">
        <v>20000</v>
      </c>
      <c r="G28">
        <v>100</v>
      </c>
      <c r="J28">
        <v>50000</v>
      </c>
      <c r="L28">
        <v>250</v>
      </c>
      <c r="M28">
        <v>10</v>
      </c>
      <c r="N28">
        <v>100000</v>
      </c>
      <c r="O28">
        <v>100</v>
      </c>
      <c r="R28">
        <v>0</v>
      </c>
      <c r="T28">
        <v>0</v>
      </c>
      <c r="U28">
        <v>0</v>
      </c>
      <c r="V28">
        <v>0</v>
      </c>
      <c r="W28">
        <v>0</v>
      </c>
      <c r="AO28">
        <v>100</v>
      </c>
      <c r="AP28">
        <v>0</v>
      </c>
      <c r="AQ28">
        <v>0</v>
      </c>
    </row>
    <row r="29" spans="1:49">
      <c r="A29" t="s">
        <v>974</v>
      </c>
      <c r="F29">
        <v>10000</v>
      </c>
      <c r="N29">
        <v>12000</v>
      </c>
      <c r="V29">
        <v>200</v>
      </c>
      <c r="AL29">
        <v>80</v>
      </c>
      <c r="AM29">
        <v>20</v>
      </c>
      <c r="AN29">
        <v>0</v>
      </c>
    </row>
    <row r="30" spans="1:49">
      <c r="A30" t="s">
        <v>974</v>
      </c>
      <c r="C30">
        <v>100</v>
      </c>
      <c r="D30">
        <v>1000</v>
      </c>
      <c r="E30">
        <v>8</v>
      </c>
      <c r="F30">
        <v>2000</v>
      </c>
      <c r="K30">
        <v>100</v>
      </c>
      <c r="L30">
        <v>1000</v>
      </c>
      <c r="M30">
        <v>8</v>
      </c>
      <c r="N30">
        <v>2000</v>
      </c>
      <c r="T30">
        <v>0</v>
      </c>
      <c r="U30">
        <v>0</v>
      </c>
      <c r="V30">
        <v>0</v>
      </c>
      <c r="AC30">
        <v>100</v>
      </c>
      <c r="AD30">
        <v>0</v>
      </c>
      <c r="AE30">
        <v>0</v>
      </c>
      <c r="AF30">
        <v>70</v>
      </c>
      <c r="AG30">
        <v>10</v>
      </c>
      <c r="AH30">
        <v>20</v>
      </c>
      <c r="AI30">
        <v>100</v>
      </c>
      <c r="AJ30">
        <v>0</v>
      </c>
      <c r="AK30">
        <v>0</v>
      </c>
      <c r="AL30">
        <v>40</v>
      </c>
      <c r="AM30">
        <v>20</v>
      </c>
      <c r="AN30">
        <v>40</v>
      </c>
    </row>
    <row r="31" spans="1:49">
      <c r="A31" t="s">
        <v>974</v>
      </c>
      <c r="F31">
        <v>890</v>
      </c>
      <c r="G31">
        <v>30</v>
      </c>
      <c r="N31">
        <v>1200</v>
      </c>
      <c r="V31">
        <v>0</v>
      </c>
      <c r="AL31">
        <v>80</v>
      </c>
      <c r="AM31">
        <v>20</v>
      </c>
      <c r="AN31">
        <v>0</v>
      </c>
    </row>
    <row r="32" spans="1:49">
      <c r="A32" t="s">
        <v>974</v>
      </c>
      <c r="D32">
        <v>750</v>
      </c>
      <c r="F32">
        <v>40000</v>
      </c>
      <c r="I32">
        <v>500</v>
      </c>
      <c r="L32">
        <v>250</v>
      </c>
      <c r="N32">
        <v>40000</v>
      </c>
      <c r="Q32">
        <v>400</v>
      </c>
      <c r="T32">
        <v>500</v>
      </c>
      <c r="V32">
        <v>20000</v>
      </c>
      <c r="Y32">
        <v>100</v>
      </c>
      <c r="AF32">
        <v>10</v>
      </c>
      <c r="AG32">
        <v>90</v>
      </c>
      <c r="AH32">
        <v>0</v>
      </c>
      <c r="AL32">
        <v>50</v>
      </c>
      <c r="AM32">
        <v>50</v>
      </c>
      <c r="AN32">
        <v>0</v>
      </c>
      <c r="AU32">
        <v>10</v>
      </c>
      <c r="AV32">
        <v>80</v>
      </c>
      <c r="AW32">
        <v>10</v>
      </c>
    </row>
    <row r="33" spans="1:49">
      <c r="A33" t="s">
        <v>974</v>
      </c>
      <c r="J33">
        <v>50</v>
      </c>
      <c r="K33">
        <v>20</v>
      </c>
      <c r="L33">
        <v>100</v>
      </c>
      <c r="M33">
        <v>25</v>
      </c>
      <c r="N33">
        <v>2000</v>
      </c>
      <c r="O33">
        <v>100</v>
      </c>
      <c r="AF33">
        <v>5</v>
      </c>
      <c r="AG33">
        <v>95</v>
      </c>
      <c r="AH33">
        <v>0</v>
      </c>
      <c r="AL33">
        <v>0</v>
      </c>
      <c r="AM33">
        <v>100</v>
      </c>
      <c r="AN33">
        <v>0</v>
      </c>
    </row>
    <row r="34" spans="1:49">
      <c r="A34" s="4" t="s">
        <v>1357</v>
      </c>
      <c r="B34" s="3">
        <f t="shared" ref="B34:AW34" si="0">SUM(B8:B33)</f>
        <v>47664</v>
      </c>
      <c r="C34" s="3">
        <f t="shared" si="0"/>
        <v>111138</v>
      </c>
      <c r="D34" s="3">
        <f t="shared" si="0"/>
        <v>97381</v>
      </c>
      <c r="E34" s="3">
        <f t="shared" si="0"/>
        <v>13991</v>
      </c>
      <c r="F34" s="3">
        <f t="shared" si="0"/>
        <v>1874025</v>
      </c>
      <c r="G34" s="3">
        <f t="shared" si="0"/>
        <v>89958</v>
      </c>
      <c r="H34" s="3">
        <f t="shared" si="0"/>
        <v>4098</v>
      </c>
      <c r="I34" s="3">
        <f t="shared" si="0"/>
        <v>47500</v>
      </c>
      <c r="J34" s="3">
        <f t="shared" si="0"/>
        <v>98304</v>
      </c>
      <c r="K34" s="3">
        <f t="shared" si="0"/>
        <v>129683</v>
      </c>
      <c r="L34" s="3">
        <f t="shared" si="0"/>
        <v>113901</v>
      </c>
      <c r="M34" s="3">
        <f t="shared" si="0"/>
        <v>12881</v>
      </c>
      <c r="N34" s="3">
        <f t="shared" si="0"/>
        <v>1503735</v>
      </c>
      <c r="O34" s="3">
        <f t="shared" si="0"/>
        <v>90275</v>
      </c>
      <c r="P34" s="3">
        <f t="shared" si="0"/>
        <v>4090</v>
      </c>
      <c r="Q34" s="3">
        <f t="shared" si="0"/>
        <v>47400</v>
      </c>
      <c r="R34" s="3">
        <f t="shared" si="0"/>
        <v>304</v>
      </c>
      <c r="S34" s="3">
        <f t="shared" si="0"/>
        <v>0</v>
      </c>
      <c r="T34" s="3">
        <f t="shared" si="0"/>
        <v>500</v>
      </c>
      <c r="U34" s="3">
        <f t="shared" si="0"/>
        <v>0</v>
      </c>
      <c r="V34" s="3">
        <f t="shared" si="0"/>
        <v>39108</v>
      </c>
      <c r="W34" s="3">
        <f t="shared" si="0"/>
        <v>5</v>
      </c>
      <c r="X34" s="3">
        <f t="shared" si="0"/>
        <v>0</v>
      </c>
      <c r="Y34" s="3">
        <f t="shared" si="0"/>
        <v>100</v>
      </c>
      <c r="Z34" s="3">
        <f t="shared" si="0"/>
        <v>718</v>
      </c>
      <c r="AA34" s="3">
        <f t="shared" si="0"/>
        <v>582</v>
      </c>
      <c r="AB34" s="3">
        <f t="shared" si="0"/>
        <v>0</v>
      </c>
      <c r="AC34" s="3">
        <f t="shared" si="0"/>
        <v>853</v>
      </c>
      <c r="AD34" s="3">
        <f t="shared" si="0"/>
        <v>647</v>
      </c>
      <c r="AE34" s="3">
        <f t="shared" si="0"/>
        <v>0</v>
      </c>
      <c r="AF34" s="3">
        <f t="shared" si="0"/>
        <v>409</v>
      </c>
      <c r="AG34" s="3">
        <f t="shared" si="0"/>
        <v>635</v>
      </c>
      <c r="AH34" s="3">
        <f t="shared" si="0"/>
        <v>57</v>
      </c>
      <c r="AI34" s="3">
        <f t="shared" si="0"/>
        <v>821</v>
      </c>
      <c r="AJ34" s="3">
        <f t="shared" si="0"/>
        <v>479</v>
      </c>
      <c r="AK34" s="3">
        <f t="shared" si="0"/>
        <v>0</v>
      </c>
      <c r="AL34" s="3">
        <f t="shared" si="0"/>
        <v>1077</v>
      </c>
      <c r="AM34" s="3">
        <f t="shared" si="0"/>
        <v>590</v>
      </c>
      <c r="AN34" s="3">
        <f t="shared" si="0"/>
        <v>233</v>
      </c>
      <c r="AO34" s="3">
        <f t="shared" si="0"/>
        <v>530</v>
      </c>
      <c r="AP34" s="3">
        <f t="shared" si="0"/>
        <v>230</v>
      </c>
      <c r="AQ34" s="3">
        <f t="shared" si="0"/>
        <v>40</v>
      </c>
      <c r="AR34" s="3">
        <f t="shared" si="0"/>
        <v>100</v>
      </c>
      <c r="AS34" s="3">
        <f t="shared" si="0"/>
        <v>100</v>
      </c>
      <c r="AT34" s="3">
        <f t="shared" si="0"/>
        <v>100</v>
      </c>
      <c r="AU34" s="3">
        <f t="shared" si="0"/>
        <v>10</v>
      </c>
      <c r="AV34" s="3">
        <f t="shared" si="0"/>
        <v>205</v>
      </c>
      <c r="AW34" s="3">
        <f t="shared" si="0"/>
        <v>85</v>
      </c>
    </row>
    <row r="35" spans="1:49">
      <c r="A35" s="4" t="s">
        <v>1117</v>
      </c>
      <c r="B35" s="15">
        <f>B34/15</f>
        <v>3177.6</v>
      </c>
      <c r="C35" s="15">
        <f>C34/17</f>
        <v>6537.5294117647063</v>
      </c>
      <c r="D35" s="15">
        <f>D34/10</f>
        <v>9738.1</v>
      </c>
      <c r="E35" s="15">
        <f>E34/16</f>
        <v>874.4375</v>
      </c>
      <c r="F35" s="15">
        <f>F34/21</f>
        <v>89239.28571428571</v>
      </c>
      <c r="G35" s="15">
        <f>G34/11</f>
        <v>8178</v>
      </c>
      <c r="H35" s="15">
        <f>H34/3</f>
        <v>1366</v>
      </c>
      <c r="I35" s="15">
        <f>I34/6</f>
        <v>7916.666666666667</v>
      </c>
      <c r="J35" s="15">
        <f>J34/15</f>
        <v>6553.6</v>
      </c>
      <c r="K35" s="15">
        <f>K34/16</f>
        <v>8105.1875</v>
      </c>
      <c r="L35" s="15">
        <f>L34/10</f>
        <v>11390.1</v>
      </c>
      <c r="M35" s="15">
        <f>M34/16</f>
        <v>805.0625</v>
      </c>
      <c r="N35" s="15">
        <f>N34/20</f>
        <v>75186.75</v>
      </c>
      <c r="O35" s="15">
        <f>O34/10</f>
        <v>9027.5</v>
      </c>
      <c r="P35" s="15">
        <f>P34/3</f>
        <v>1363.3333333333333</v>
      </c>
      <c r="Q35" s="15">
        <f>Q34/5</f>
        <v>9480</v>
      </c>
      <c r="R35" s="15">
        <f>R34/13</f>
        <v>23.384615384615383</v>
      </c>
      <c r="S35" s="15">
        <f t="shared" ref="S35:AE35" si="1">S34/15</f>
        <v>0</v>
      </c>
      <c r="T35" s="15">
        <f>T34/11</f>
        <v>45.454545454545453</v>
      </c>
      <c r="U35" s="15">
        <f t="shared" si="1"/>
        <v>0</v>
      </c>
      <c r="V35" s="15">
        <f>V34/17</f>
        <v>2300.4705882352941</v>
      </c>
      <c r="W35" s="15">
        <f>W34/9</f>
        <v>0.55555555555555558</v>
      </c>
      <c r="X35" s="15">
        <f t="shared" si="1"/>
        <v>0</v>
      </c>
      <c r="Y35" s="15">
        <f>Y34/5</f>
        <v>20</v>
      </c>
      <c r="Z35" s="15">
        <f>Z34/13</f>
        <v>55.230769230769234</v>
      </c>
      <c r="AA35" s="15">
        <f>AA34/13</f>
        <v>44.769230769230766</v>
      </c>
      <c r="AB35" s="15">
        <f>AB34/13</f>
        <v>0</v>
      </c>
      <c r="AC35" s="15">
        <f t="shared" si="1"/>
        <v>56.866666666666667</v>
      </c>
      <c r="AD35" s="15">
        <f t="shared" si="1"/>
        <v>43.133333333333333</v>
      </c>
      <c r="AE35" s="15">
        <f t="shared" si="1"/>
        <v>0</v>
      </c>
      <c r="AF35" s="15">
        <f>AF34/11</f>
        <v>37.18181818181818</v>
      </c>
      <c r="AG35" s="15">
        <f>AG34/11</f>
        <v>57.727272727272727</v>
      </c>
      <c r="AH35" s="15">
        <f>AH34/11</f>
        <v>5.1818181818181817</v>
      </c>
      <c r="AI35" s="15">
        <f>AI34/13</f>
        <v>63.153846153846153</v>
      </c>
      <c r="AJ35" s="15">
        <f>AJ34/13</f>
        <v>36.846153846153847</v>
      </c>
      <c r="AK35" s="15">
        <f>AK34/13</f>
        <v>0</v>
      </c>
      <c r="AL35" s="15">
        <f>AL34/19</f>
        <v>56.684210526315788</v>
      </c>
      <c r="AM35" s="15">
        <f>AM34/19</f>
        <v>31.05263157894737</v>
      </c>
      <c r="AN35" s="15">
        <f>AN34/19</f>
        <v>12.263157894736842</v>
      </c>
      <c r="AO35" s="15">
        <f>AO34/8</f>
        <v>66.25</v>
      </c>
      <c r="AP35" s="15">
        <f>AP34/8</f>
        <v>28.75</v>
      </c>
      <c r="AQ35" s="15">
        <f>AQ34/8</f>
        <v>5</v>
      </c>
      <c r="AR35" s="15">
        <f t="shared" ref="AR35:AW35" si="2">AR34/3</f>
        <v>33.333333333333336</v>
      </c>
      <c r="AS35" s="15">
        <f t="shared" si="2"/>
        <v>33.333333333333336</v>
      </c>
      <c r="AT35" s="15">
        <f t="shared" si="2"/>
        <v>33.333333333333336</v>
      </c>
      <c r="AU35" s="15">
        <f t="shared" si="2"/>
        <v>3.3333333333333335</v>
      </c>
      <c r="AV35" s="15">
        <f t="shared" si="2"/>
        <v>68.333333333333329</v>
      </c>
      <c r="AW35" s="15">
        <f t="shared" si="2"/>
        <v>28.333333333333332</v>
      </c>
    </row>
    <row r="37" spans="1:49">
      <c r="B37" t="s">
        <v>217</v>
      </c>
      <c r="C37" t="s">
        <v>218</v>
      </c>
      <c r="D37" t="s">
        <v>219</v>
      </c>
      <c r="E37" t="s">
        <v>220</v>
      </c>
      <c r="F37" t="s">
        <v>221</v>
      </c>
      <c r="G37" t="s">
        <v>222</v>
      </c>
      <c r="H37" t="s">
        <v>223</v>
      </c>
      <c r="I37" t="s">
        <v>224</v>
      </c>
      <c r="J37" t="s">
        <v>225</v>
      </c>
      <c r="K37" t="s">
        <v>226</v>
      </c>
      <c r="L37" t="s">
        <v>227</v>
      </c>
      <c r="M37" t="s">
        <v>228</v>
      </c>
      <c r="N37" t="s">
        <v>229</v>
      </c>
      <c r="O37" t="s">
        <v>230</v>
      </c>
      <c r="P37" t="s">
        <v>231</v>
      </c>
      <c r="Q37" t="s">
        <v>232</v>
      </c>
      <c r="R37" t="s">
        <v>233</v>
      </c>
      <c r="S37" t="s">
        <v>234</v>
      </c>
      <c r="T37" t="s">
        <v>235</v>
      </c>
      <c r="U37" t="s">
        <v>236</v>
      </c>
      <c r="V37" t="s">
        <v>237</v>
      </c>
      <c r="W37" t="s">
        <v>238</v>
      </c>
      <c r="X37" t="s">
        <v>239</v>
      </c>
      <c r="Y37" t="s">
        <v>240</v>
      </c>
      <c r="Z37" t="s">
        <v>241</v>
      </c>
      <c r="AA37" t="s">
        <v>242</v>
      </c>
      <c r="AB37" t="s">
        <v>243</v>
      </c>
      <c r="AC37" t="s">
        <v>244</v>
      </c>
      <c r="AD37" t="s">
        <v>245</v>
      </c>
      <c r="AE37" t="s">
        <v>246</v>
      </c>
      <c r="AF37" t="s">
        <v>247</v>
      </c>
      <c r="AG37" t="s">
        <v>248</v>
      </c>
      <c r="AH37" t="s">
        <v>249</v>
      </c>
      <c r="AI37" t="s">
        <v>250</v>
      </c>
      <c r="AJ37" t="s">
        <v>251</v>
      </c>
      <c r="AK37" t="s">
        <v>252</v>
      </c>
      <c r="AL37" t="s">
        <v>253</v>
      </c>
      <c r="AM37" t="s">
        <v>254</v>
      </c>
      <c r="AN37" t="s">
        <v>255</v>
      </c>
      <c r="AO37" t="s">
        <v>256</v>
      </c>
      <c r="AP37" t="s">
        <v>257</v>
      </c>
      <c r="AQ37" t="s">
        <v>258</v>
      </c>
      <c r="AR37" t="s">
        <v>259</v>
      </c>
      <c r="AS37" t="s">
        <v>260</v>
      </c>
      <c r="AT37" t="s">
        <v>261</v>
      </c>
      <c r="AU37" t="s">
        <v>262</v>
      </c>
      <c r="AV37" t="s">
        <v>263</v>
      </c>
      <c r="AW37" t="s">
        <v>264</v>
      </c>
    </row>
    <row r="38" spans="1:49">
      <c r="B38" t="s">
        <v>749</v>
      </c>
      <c r="C38" t="s">
        <v>750</v>
      </c>
      <c r="D38" t="s">
        <v>751</v>
      </c>
      <c r="E38" t="s">
        <v>752</v>
      </c>
      <c r="F38" t="s">
        <v>753</v>
      </c>
      <c r="G38" t="s">
        <v>754</v>
      </c>
      <c r="H38" t="s">
        <v>755</v>
      </c>
      <c r="I38" t="s">
        <v>756</v>
      </c>
      <c r="J38" t="s">
        <v>757</v>
      </c>
      <c r="K38" t="s">
        <v>758</v>
      </c>
      <c r="L38" t="s">
        <v>759</v>
      </c>
      <c r="M38" t="s">
        <v>760</v>
      </c>
      <c r="N38" t="s">
        <v>761</v>
      </c>
      <c r="O38" t="s">
        <v>762</v>
      </c>
      <c r="P38" t="s">
        <v>763</v>
      </c>
      <c r="Q38" t="s">
        <v>764</v>
      </c>
      <c r="R38" t="s">
        <v>757</v>
      </c>
      <c r="S38" t="s">
        <v>765</v>
      </c>
      <c r="T38" t="s">
        <v>759</v>
      </c>
      <c r="U38" t="s">
        <v>760</v>
      </c>
      <c r="V38" t="s">
        <v>761</v>
      </c>
      <c r="W38" t="s">
        <v>762</v>
      </c>
      <c r="X38" t="s">
        <v>763</v>
      </c>
      <c r="Y38" t="s">
        <v>764</v>
      </c>
      <c r="Z38" t="s">
        <v>766</v>
      </c>
      <c r="AA38" t="s">
        <v>766</v>
      </c>
      <c r="AB38" t="s">
        <v>766</v>
      </c>
      <c r="AC38" t="s">
        <v>767</v>
      </c>
      <c r="AD38" t="s">
        <v>767</v>
      </c>
      <c r="AE38" t="s">
        <v>767</v>
      </c>
      <c r="AF38" t="s">
        <v>768</v>
      </c>
      <c r="AG38" t="s">
        <v>768</v>
      </c>
      <c r="AH38" t="s">
        <v>768</v>
      </c>
      <c r="AI38" t="s">
        <v>769</v>
      </c>
      <c r="AJ38" t="s">
        <v>769</v>
      </c>
      <c r="AK38" t="s">
        <v>769</v>
      </c>
      <c r="AL38" t="s">
        <v>770</v>
      </c>
      <c r="AM38" t="s">
        <v>770</v>
      </c>
      <c r="AN38" t="s">
        <v>770</v>
      </c>
      <c r="AO38" t="s">
        <v>771</v>
      </c>
      <c r="AP38" t="s">
        <v>771</v>
      </c>
      <c r="AQ38" t="s">
        <v>771</v>
      </c>
      <c r="AR38" t="s">
        <v>772</v>
      </c>
      <c r="AS38" t="s">
        <v>772</v>
      </c>
      <c r="AT38" t="s">
        <v>772</v>
      </c>
      <c r="AU38" t="s">
        <v>773</v>
      </c>
      <c r="AV38" t="s">
        <v>773</v>
      </c>
      <c r="AW38" t="s">
        <v>773</v>
      </c>
    </row>
    <row r="40" spans="1:49">
      <c r="A40" s="3" t="s">
        <v>1364</v>
      </c>
    </row>
    <row r="41" spans="1:49">
      <c r="B41" t="s">
        <v>1306</v>
      </c>
      <c r="C41" t="s">
        <v>1373</v>
      </c>
      <c r="D41" t="s">
        <v>1315</v>
      </c>
      <c r="E41" t="s">
        <v>1308</v>
      </c>
      <c r="F41" t="s">
        <v>1309</v>
      </c>
      <c r="G41" t="s">
        <v>1310</v>
      </c>
      <c r="H41" t="s">
        <v>1311</v>
      </c>
      <c r="I41" t="s">
        <v>1312</v>
      </c>
    </row>
    <row r="42" spans="1:49">
      <c r="A42" t="s">
        <v>1368</v>
      </c>
      <c r="B42" s="15">
        <f t="shared" ref="B42:I42" si="3">B35</f>
        <v>3177.6</v>
      </c>
      <c r="C42" s="15">
        <f t="shared" si="3"/>
        <v>6537.5294117647063</v>
      </c>
      <c r="D42" s="15">
        <f t="shared" si="3"/>
        <v>9738.1</v>
      </c>
      <c r="E42" s="15">
        <f t="shared" si="3"/>
        <v>874.4375</v>
      </c>
      <c r="F42" s="15">
        <f t="shared" si="3"/>
        <v>89239.28571428571</v>
      </c>
      <c r="G42" s="15">
        <f t="shared" si="3"/>
        <v>8178</v>
      </c>
      <c r="H42" s="15">
        <f t="shared" si="3"/>
        <v>1366</v>
      </c>
      <c r="I42" s="15">
        <f t="shared" si="3"/>
        <v>7916.666666666667</v>
      </c>
    </row>
    <row r="43" spans="1:49">
      <c r="A43" t="s">
        <v>1369</v>
      </c>
      <c r="B43" s="15">
        <f t="shared" ref="B43:I43" si="4">J35</f>
        <v>6553.6</v>
      </c>
      <c r="C43" s="15">
        <f t="shared" si="4"/>
        <v>8105.1875</v>
      </c>
      <c r="D43" s="15">
        <f t="shared" si="4"/>
        <v>11390.1</v>
      </c>
      <c r="E43" s="15">
        <f t="shared" si="4"/>
        <v>805.0625</v>
      </c>
      <c r="F43" s="15">
        <f t="shared" si="4"/>
        <v>75186.75</v>
      </c>
      <c r="G43" s="15">
        <f t="shared" si="4"/>
        <v>9027.5</v>
      </c>
      <c r="H43" s="15">
        <f t="shared" si="4"/>
        <v>1363.3333333333333</v>
      </c>
      <c r="I43" s="15">
        <f t="shared" si="4"/>
        <v>9480</v>
      </c>
    </row>
    <row r="44" spans="1:49">
      <c r="A44" t="s">
        <v>1370</v>
      </c>
      <c r="B44" s="15">
        <f t="shared" ref="B44:I44" si="5">R35</f>
        <v>23.384615384615383</v>
      </c>
      <c r="C44" s="15">
        <f t="shared" si="5"/>
        <v>0</v>
      </c>
      <c r="D44" s="15">
        <f t="shared" si="5"/>
        <v>45.454545454545453</v>
      </c>
      <c r="E44" s="15">
        <f t="shared" si="5"/>
        <v>0</v>
      </c>
      <c r="F44" s="15">
        <f t="shared" si="5"/>
        <v>2300.4705882352941</v>
      </c>
      <c r="G44" s="15">
        <f t="shared" si="5"/>
        <v>0.55555555555555558</v>
      </c>
      <c r="H44" s="15">
        <f t="shared" si="5"/>
        <v>0</v>
      </c>
      <c r="I44" s="15">
        <f t="shared" si="5"/>
        <v>20</v>
      </c>
    </row>
    <row r="46" spans="1:49">
      <c r="B46" t="s">
        <v>1306</v>
      </c>
      <c r="C46" t="s">
        <v>1373</v>
      </c>
      <c r="D46" t="s">
        <v>1315</v>
      </c>
      <c r="E46" t="s">
        <v>1308</v>
      </c>
      <c r="F46" t="s">
        <v>1309</v>
      </c>
      <c r="G46" t="s">
        <v>1310</v>
      </c>
      <c r="H46" t="s">
        <v>1311</v>
      </c>
      <c r="I46" t="s">
        <v>1312</v>
      </c>
    </row>
    <row r="47" spans="1:49">
      <c r="A47" t="s">
        <v>1365</v>
      </c>
      <c r="B47" s="15">
        <f>Z35</f>
        <v>55.230769230769234</v>
      </c>
      <c r="C47" s="15">
        <f>AC35</f>
        <v>56.866666666666667</v>
      </c>
      <c r="D47" s="15">
        <f>AF35</f>
        <v>37.18181818181818</v>
      </c>
      <c r="E47" s="15">
        <f>AI35</f>
        <v>63.153846153846153</v>
      </c>
      <c r="F47" s="15">
        <f>AL35</f>
        <v>56.684210526315788</v>
      </c>
      <c r="G47" s="15">
        <f>AO35</f>
        <v>66.25</v>
      </c>
      <c r="H47" s="15">
        <f>AR35</f>
        <v>33.333333333333336</v>
      </c>
      <c r="I47" s="15">
        <f>AU35</f>
        <v>3.3333333333333335</v>
      </c>
    </row>
    <row r="48" spans="1:49">
      <c r="A48" t="s">
        <v>1366</v>
      </c>
      <c r="B48" s="15">
        <f>AA35</f>
        <v>44.769230769230766</v>
      </c>
      <c r="C48" s="15">
        <f>AD35</f>
        <v>43.133333333333333</v>
      </c>
      <c r="D48" s="15">
        <f>AG35</f>
        <v>57.727272727272727</v>
      </c>
      <c r="E48" s="15">
        <f>AJ35</f>
        <v>36.846153846153847</v>
      </c>
      <c r="F48" s="15">
        <f>AM35</f>
        <v>31.05263157894737</v>
      </c>
      <c r="G48" s="15">
        <f>AP35</f>
        <v>28.75</v>
      </c>
      <c r="H48" s="15">
        <f>AS35</f>
        <v>33.333333333333336</v>
      </c>
      <c r="I48" s="15">
        <f>AV35</f>
        <v>68.333333333333329</v>
      </c>
    </row>
    <row r="49" spans="1:10">
      <c r="A49" t="s">
        <v>1367</v>
      </c>
      <c r="B49" s="15">
        <f>AB35</f>
        <v>0</v>
      </c>
      <c r="C49" s="15">
        <f>AE35</f>
        <v>0</v>
      </c>
      <c r="D49" s="15">
        <f>AH35</f>
        <v>5.1818181818181817</v>
      </c>
      <c r="E49" s="15">
        <f>AK35</f>
        <v>0</v>
      </c>
      <c r="F49" s="15">
        <f>AN35</f>
        <v>12.263157894736842</v>
      </c>
      <c r="G49" s="15">
        <f>AQ35</f>
        <v>5</v>
      </c>
      <c r="H49" s="15">
        <f>AT35</f>
        <v>33.333333333333336</v>
      </c>
      <c r="I49" s="15">
        <f>AW35</f>
        <v>28.333333333333332</v>
      </c>
    </row>
    <row r="50" spans="1:10">
      <c r="B50" s="39">
        <f>SUM(B47:B49)</f>
        <v>100</v>
      </c>
      <c r="C50" s="39">
        <f>SUM(C47:C49)</f>
        <v>100</v>
      </c>
      <c r="D50" s="39">
        <f t="shared" ref="D50:I50" si="6">SUM(D47:D49)</f>
        <v>100.09090909090909</v>
      </c>
      <c r="E50" s="39">
        <f t="shared" si="6"/>
        <v>100</v>
      </c>
      <c r="F50" s="39">
        <f t="shared" si="6"/>
        <v>100</v>
      </c>
      <c r="G50" s="39">
        <f t="shared" si="6"/>
        <v>100</v>
      </c>
      <c r="H50" s="39">
        <f t="shared" si="6"/>
        <v>100</v>
      </c>
      <c r="I50" s="39">
        <f t="shared" si="6"/>
        <v>99.999999999999986</v>
      </c>
    </row>
    <row r="52" spans="1:10">
      <c r="A52" s="1" t="s">
        <v>1371</v>
      </c>
    </row>
    <row r="53" spans="1:10">
      <c r="B53" t="s">
        <v>978</v>
      </c>
      <c r="C53" t="s">
        <v>1312</v>
      </c>
      <c r="D53" t="s">
        <v>1311</v>
      </c>
      <c r="E53" t="s">
        <v>1315</v>
      </c>
      <c r="F53" t="s">
        <v>1306</v>
      </c>
      <c r="G53" t="s">
        <v>1309</v>
      </c>
      <c r="H53" t="s">
        <v>1373</v>
      </c>
      <c r="I53" t="s">
        <v>1308</v>
      </c>
      <c r="J53" t="s">
        <v>1310</v>
      </c>
    </row>
    <row r="54" spans="1:10">
      <c r="A54" t="s">
        <v>1365</v>
      </c>
      <c r="B54" s="15">
        <f>SUM(C54:I54)/8</f>
        <v>38.24324009324009</v>
      </c>
      <c r="C54" s="15">
        <v>3.3333333333333335</v>
      </c>
      <c r="D54" s="15">
        <v>33.333333333333336</v>
      </c>
      <c r="E54" s="15">
        <v>37.18181818181818</v>
      </c>
      <c r="F54" s="15">
        <v>55.230769230769234</v>
      </c>
      <c r="G54" s="15">
        <v>57</v>
      </c>
      <c r="H54" s="15">
        <v>56.866666666666667</v>
      </c>
      <c r="I54" s="15">
        <v>63</v>
      </c>
      <c r="J54" s="15">
        <v>66</v>
      </c>
    </row>
    <row r="55" spans="1:10">
      <c r="A55" t="s">
        <v>1366</v>
      </c>
      <c r="B55" s="15">
        <f>SUM(C55:I55)/8</f>
        <v>39.440909090909088</v>
      </c>
      <c r="C55" s="15">
        <v>68.333333333333329</v>
      </c>
      <c r="D55" s="15">
        <v>33.333333333333336</v>
      </c>
      <c r="E55" s="15">
        <v>57.727272727272727</v>
      </c>
      <c r="F55" s="15">
        <v>45</v>
      </c>
      <c r="G55" s="15">
        <v>31</v>
      </c>
      <c r="H55" s="15">
        <v>43.133333333333333</v>
      </c>
      <c r="I55" s="15">
        <v>37</v>
      </c>
      <c r="J55" s="15">
        <v>28.75</v>
      </c>
    </row>
    <row r="56" spans="1:10">
      <c r="A56" t="s">
        <v>1367</v>
      </c>
      <c r="B56" s="15">
        <f>SUM(C56:I56)/8</f>
        <v>9.8560606060606073</v>
      </c>
      <c r="C56" s="15">
        <v>28.333333333333332</v>
      </c>
      <c r="D56" s="15">
        <v>33.333333333333336</v>
      </c>
      <c r="E56" s="15">
        <v>5.1818181818181817</v>
      </c>
      <c r="F56" s="15">
        <v>0</v>
      </c>
      <c r="G56" s="15">
        <v>12</v>
      </c>
      <c r="H56" s="15">
        <v>0</v>
      </c>
      <c r="I56" s="15">
        <v>0</v>
      </c>
      <c r="J56" s="15">
        <v>5</v>
      </c>
    </row>
    <row r="57" spans="1:10">
      <c r="B57" s="15"/>
      <c r="C57" s="15"/>
      <c r="D57" s="15"/>
      <c r="E57" s="15"/>
      <c r="I57" s="15"/>
    </row>
  </sheetData>
  <sortState ref="A7:AW149">
    <sortCondition ref="B7:B149"/>
  </sortState>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A1:S35"/>
  <sheetViews>
    <sheetView workbookViewId="0"/>
  </sheetViews>
  <sheetFormatPr defaultRowHeight="14.4"/>
  <cols>
    <col min="1" max="1" width="18.5546875" customWidth="1"/>
  </cols>
  <sheetData>
    <row r="1" spans="1:13">
      <c r="A1" s="3" t="s">
        <v>1414</v>
      </c>
    </row>
    <row r="2" spans="1:13">
      <c r="A2" t="s">
        <v>1356</v>
      </c>
    </row>
    <row r="3" spans="1:13">
      <c r="A3" t="s">
        <v>1316</v>
      </c>
    </row>
    <row r="4" spans="1:13">
      <c r="A4" t="s">
        <v>1374</v>
      </c>
    </row>
    <row r="5" spans="1:13">
      <c r="B5" t="s">
        <v>265</v>
      </c>
      <c r="C5" t="s">
        <v>267</v>
      </c>
      <c r="D5" t="s">
        <v>269</v>
      </c>
      <c r="E5" t="s">
        <v>271</v>
      </c>
      <c r="F5" t="s">
        <v>273</v>
      </c>
      <c r="G5" t="s">
        <v>275</v>
      </c>
      <c r="H5" t="s">
        <v>277</v>
      </c>
      <c r="I5" t="s">
        <v>278</v>
      </c>
      <c r="J5" t="s">
        <v>279</v>
      </c>
      <c r="K5" t="s">
        <v>283</v>
      </c>
      <c r="L5" t="s">
        <v>284</v>
      </c>
      <c r="M5" t="s">
        <v>285</v>
      </c>
    </row>
    <row r="6" spans="1:13">
      <c r="B6" t="s">
        <v>774</v>
      </c>
      <c r="C6" t="s">
        <v>776</v>
      </c>
      <c r="D6" t="s">
        <v>778</v>
      </c>
      <c r="E6" t="s">
        <v>780</v>
      </c>
      <c r="F6" t="s">
        <v>782</v>
      </c>
      <c r="G6" t="s">
        <v>783</v>
      </c>
      <c r="H6" t="s">
        <v>784</v>
      </c>
      <c r="I6" t="s">
        <v>784</v>
      </c>
      <c r="J6" t="s">
        <v>784</v>
      </c>
      <c r="K6" t="s">
        <v>786</v>
      </c>
      <c r="L6" t="s">
        <v>786</v>
      </c>
      <c r="M6" t="s">
        <v>786</v>
      </c>
    </row>
    <row r="7" spans="1:13">
      <c r="A7" t="s">
        <v>954</v>
      </c>
      <c r="B7">
        <v>150</v>
      </c>
      <c r="C7">
        <v>50</v>
      </c>
      <c r="D7">
        <v>3000</v>
      </c>
      <c r="E7">
        <v>100</v>
      </c>
      <c r="F7">
        <v>150</v>
      </c>
      <c r="G7">
        <v>50</v>
      </c>
      <c r="H7">
        <v>1</v>
      </c>
      <c r="I7">
        <v>20</v>
      </c>
      <c r="J7">
        <v>79</v>
      </c>
      <c r="K7">
        <v>0</v>
      </c>
      <c r="L7">
        <v>10</v>
      </c>
      <c r="M7">
        <v>90</v>
      </c>
    </row>
    <row r="8" spans="1:13">
      <c r="A8" t="s">
        <v>954</v>
      </c>
      <c r="B8">
        <v>215</v>
      </c>
      <c r="C8">
        <v>50</v>
      </c>
    </row>
    <row r="9" spans="1:13">
      <c r="A9" t="s">
        <v>972</v>
      </c>
      <c r="B9">
        <v>500</v>
      </c>
      <c r="C9">
        <v>500</v>
      </c>
      <c r="H9">
        <v>0</v>
      </c>
      <c r="I9">
        <v>100</v>
      </c>
      <c r="J9">
        <v>0</v>
      </c>
      <c r="K9">
        <v>0</v>
      </c>
      <c r="L9">
        <v>100</v>
      </c>
      <c r="M9">
        <v>0</v>
      </c>
    </row>
    <row r="10" spans="1:13">
      <c r="A10" t="s">
        <v>974</v>
      </c>
      <c r="B10">
        <v>50000</v>
      </c>
      <c r="C10">
        <v>50000</v>
      </c>
      <c r="D10">
        <v>3500</v>
      </c>
      <c r="E10">
        <v>1500</v>
      </c>
      <c r="F10">
        <v>0</v>
      </c>
      <c r="G10">
        <v>0</v>
      </c>
      <c r="H10">
        <v>1</v>
      </c>
      <c r="I10">
        <v>25</v>
      </c>
      <c r="J10">
        <v>74</v>
      </c>
      <c r="K10">
        <v>1</v>
      </c>
      <c r="L10">
        <v>25</v>
      </c>
      <c r="M10">
        <v>74</v>
      </c>
    </row>
    <row r="11" spans="1:13">
      <c r="A11" t="s">
        <v>974</v>
      </c>
      <c r="B11">
        <v>100000</v>
      </c>
      <c r="C11">
        <v>10000</v>
      </c>
      <c r="D11">
        <v>100000</v>
      </c>
      <c r="E11">
        <v>10000</v>
      </c>
      <c r="F11">
        <v>0</v>
      </c>
      <c r="G11">
        <v>0</v>
      </c>
      <c r="H11">
        <v>10</v>
      </c>
      <c r="I11">
        <v>10</v>
      </c>
      <c r="J11">
        <v>80</v>
      </c>
      <c r="K11">
        <v>0</v>
      </c>
      <c r="L11">
        <v>10</v>
      </c>
      <c r="M11">
        <v>90</v>
      </c>
    </row>
    <row r="12" spans="1:13">
      <c r="A12" t="s">
        <v>972</v>
      </c>
      <c r="C12">
        <v>0</v>
      </c>
      <c r="E12">
        <v>2</v>
      </c>
      <c r="G12">
        <v>0</v>
      </c>
    </row>
    <row r="13" spans="1:13">
      <c r="A13" t="s">
        <v>974</v>
      </c>
      <c r="D13">
        <v>30000</v>
      </c>
      <c r="E13">
        <v>15000</v>
      </c>
    </row>
    <row r="14" spans="1:13">
      <c r="A14" t="s">
        <v>974</v>
      </c>
      <c r="D14">
        <v>2500</v>
      </c>
      <c r="E14">
        <v>500</v>
      </c>
      <c r="F14">
        <v>0</v>
      </c>
      <c r="G14">
        <v>0</v>
      </c>
    </row>
    <row r="15" spans="1:13">
      <c r="A15" t="s">
        <v>974</v>
      </c>
      <c r="D15">
        <v>1200</v>
      </c>
    </row>
    <row r="16" spans="1:13">
      <c r="A16" t="s">
        <v>974</v>
      </c>
      <c r="E16">
        <v>3000</v>
      </c>
    </row>
    <row r="17" spans="1:19">
      <c r="A17" t="s">
        <v>972</v>
      </c>
      <c r="C17">
        <v>1000</v>
      </c>
      <c r="E17">
        <v>10</v>
      </c>
      <c r="G17">
        <v>0</v>
      </c>
      <c r="K17">
        <v>2</v>
      </c>
      <c r="L17">
        <v>65</v>
      </c>
      <c r="M17">
        <v>33</v>
      </c>
    </row>
    <row r="18" spans="1:19">
      <c r="A18" t="s">
        <v>973</v>
      </c>
      <c r="C18">
        <v>300</v>
      </c>
      <c r="E18">
        <v>500</v>
      </c>
      <c r="G18">
        <v>0</v>
      </c>
      <c r="K18">
        <v>2</v>
      </c>
      <c r="L18">
        <v>98</v>
      </c>
      <c r="M18">
        <v>0</v>
      </c>
    </row>
    <row r="19" spans="1:19">
      <c r="A19" s="4" t="s">
        <v>1357</v>
      </c>
      <c r="B19" s="3">
        <f t="shared" ref="B19:M19" si="0">SUM(B7:B18)</f>
        <v>150865</v>
      </c>
      <c r="C19" s="3">
        <f t="shared" si="0"/>
        <v>61900</v>
      </c>
      <c r="D19" s="3">
        <f t="shared" si="0"/>
        <v>140200</v>
      </c>
      <c r="E19" s="3">
        <f t="shared" si="0"/>
        <v>30612</v>
      </c>
      <c r="F19" s="3">
        <f t="shared" si="0"/>
        <v>150</v>
      </c>
      <c r="G19" s="3">
        <f t="shared" si="0"/>
        <v>50</v>
      </c>
      <c r="H19" s="3">
        <f t="shared" si="0"/>
        <v>12</v>
      </c>
      <c r="I19" s="3">
        <f t="shared" si="0"/>
        <v>155</v>
      </c>
      <c r="J19" s="3">
        <f t="shared" si="0"/>
        <v>233</v>
      </c>
      <c r="K19" s="3">
        <f t="shared" si="0"/>
        <v>5</v>
      </c>
      <c r="L19" s="3">
        <f t="shared" si="0"/>
        <v>308</v>
      </c>
      <c r="M19" s="3">
        <f t="shared" si="0"/>
        <v>287</v>
      </c>
      <c r="Q19" s="3"/>
      <c r="R19" s="3"/>
      <c r="S19" s="3"/>
    </row>
    <row r="20" spans="1:19">
      <c r="A20" s="4" t="s">
        <v>1117</v>
      </c>
      <c r="B20" s="15">
        <f>B19/5</f>
        <v>30173</v>
      </c>
      <c r="C20" s="15">
        <f>C19/8</f>
        <v>7737.5</v>
      </c>
      <c r="D20" s="15">
        <f>D19/6</f>
        <v>23366.666666666668</v>
      </c>
      <c r="E20" s="15">
        <f>E19/9</f>
        <v>3401.3333333333335</v>
      </c>
      <c r="F20" s="15">
        <f>F19/4</f>
        <v>37.5</v>
      </c>
      <c r="G20" s="15">
        <f>G19/7</f>
        <v>7.1428571428571432</v>
      </c>
      <c r="H20" s="15">
        <f>H19/4</f>
        <v>3</v>
      </c>
      <c r="I20" s="15">
        <f>I19/4</f>
        <v>38.75</v>
      </c>
      <c r="J20" s="15">
        <f>J19/4</f>
        <v>58.25</v>
      </c>
      <c r="K20" s="15">
        <f>K19/6</f>
        <v>0.83333333333333337</v>
      </c>
      <c r="L20" s="15">
        <f>L19/6</f>
        <v>51.333333333333336</v>
      </c>
      <c r="M20" s="15">
        <f>M19/6</f>
        <v>47.833333333333336</v>
      </c>
    </row>
    <row r="21" spans="1:19">
      <c r="B21" t="s">
        <v>265</v>
      </c>
      <c r="C21" t="s">
        <v>267</v>
      </c>
      <c r="D21" t="s">
        <v>269</v>
      </c>
      <c r="E21" t="s">
        <v>271</v>
      </c>
      <c r="F21" t="s">
        <v>273</v>
      </c>
      <c r="G21" t="s">
        <v>275</v>
      </c>
      <c r="H21" t="s">
        <v>277</v>
      </c>
      <c r="I21" t="s">
        <v>278</v>
      </c>
      <c r="J21" t="s">
        <v>279</v>
      </c>
      <c r="K21" t="s">
        <v>283</v>
      </c>
      <c r="L21" t="s">
        <v>284</v>
      </c>
      <c r="M21" t="s">
        <v>285</v>
      </c>
    </row>
    <row r="22" spans="1:19">
      <c r="B22" t="s">
        <v>774</v>
      </c>
      <c r="C22" t="s">
        <v>776</v>
      </c>
      <c r="D22" t="s">
        <v>778</v>
      </c>
      <c r="E22" t="s">
        <v>780</v>
      </c>
      <c r="F22" t="s">
        <v>782</v>
      </c>
      <c r="G22" t="s">
        <v>783</v>
      </c>
      <c r="H22" t="s">
        <v>784</v>
      </c>
      <c r="I22" t="s">
        <v>784</v>
      </c>
      <c r="J22" t="s">
        <v>784</v>
      </c>
      <c r="K22" t="s">
        <v>786</v>
      </c>
      <c r="L22" t="s">
        <v>786</v>
      </c>
      <c r="M22" t="s">
        <v>786</v>
      </c>
    </row>
    <row r="25" spans="1:19">
      <c r="A25" s="3" t="s">
        <v>1364</v>
      </c>
    </row>
    <row r="26" spans="1:19">
      <c r="B26" t="s">
        <v>1375</v>
      </c>
      <c r="C26" t="s">
        <v>1376</v>
      </c>
    </row>
    <row r="27" spans="1:19">
      <c r="A27" t="s">
        <v>1368</v>
      </c>
      <c r="B27" s="15">
        <f t="shared" ref="B27:C27" si="1">B20</f>
        <v>30173</v>
      </c>
      <c r="C27" s="15">
        <f t="shared" si="1"/>
        <v>7737.5</v>
      </c>
      <c r="D27" s="15"/>
      <c r="E27" s="15"/>
      <c r="F27" s="15"/>
      <c r="G27" s="15"/>
      <c r="H27" s="15"/>
      <c r="I27" s="15"/>
    </row>
    <row r="28" spans="1:19">
      <c r="A28" t="s">
        <v>1377</v>
      </c>
      <c r="B28" s="15">
        <f>D20</f>
        <v>23366.666666666668</v>
      </c>
      <c r="C28" s="15">
        <f>E20</f>
        <v>3401.3333333333335</v>
      </c>
      <c r="D28" s="15"/>
      <c r="E28" s="15"/>
      <c r="F28" s="15"/>
      <c r="G28" s="15"/>
      <c r="H28" s="15"/>
      <c r="I28" s="15"/>
    </row>
    <row r="29" spans="1:19">
      <c r="A29" t="s">
        <v>1370</v>
      </c>
      <c r="B29" s="15">
        <f>F20</f>
        <v>37.5</v>
      </c>
      <c r="C29" s="15">
        <f>G20</f>
        <v>7.1428571428571432</v>
      </c>
      <c r="D29" s="15"/>
      <c r="E29" s="15"/>
      <c r="F29" s="15"/>
      <c r="G29" s="15"/>
      <c r="H29" s="15"/>
      <c r="I29" s="15"/>
    </row>
    <row r="31" spans="1:19">
      <c r="B31" t="s">
        <v>978</v>
      </c>
      <c r="C31" t="s">
        <v>1376</v>
      </c>
      <c r="D31" t="s">
        <v>1375</v>
      </c>
    </row>
    <row r="32" spans="1:19">
      <c r="A32" t="s">
        <v>1365</v>
      </c>
      <c r="B32" s="15">
        <f>SUM(C32:D32)/2</f>
        <v>1.9166666666666667</v>
      </c>
      <c r="C32" s="15">
        <f>K20</f>
        <v>0.83333333333333337</v>
      </c>
      <c r="D32" s="15">
        <f>H20</f>
        <v>3</v>
      </c>
      <c r="E32" s="15"/>
      <c r="F32" s="15"/>
      <c r="G32" s="15"/>
      <c r="H32" s="15"/>
      <c r="I32" s="15"/>
    </row>
    <row r="33" spans="1:9">
      <c r="A33" t="s">
        <v>1366</v>
      </c>
      <c r="B33" s="15">
        <f>SUM(C33:D33)/2</f>
        <v>45.041666666666671</v>
      </c>
      <c r="C33" s="15">
        <f>L20</f>
        <v>51.333333333333336</v>
      </c>
      <c r="D33" s="15">
        <f>I20</f>
        <v>38.75</v>
      </c>
      <c r="E33" s="15"/>
      <c r="F33" s="15"/>
      <c r="G33" s="15"/>
      <c r="H33" s="15"/>
      <c r="I33" s="15"/>
    </row>
    <row r="34" spans="1:9">
      <c r="A34" t="s">
        <v>1367</v>
      </c>
      <c r="B34" s="15">
        <f>SUM(C34:D34)/2</f>
        <v>53.041666666666671</v>
      </c>
      <c r="C34" s="15">
        <f>M20</f>
        <v>47.833333333333336</v>
      </c>
      <c r="D34" s="15">
        <f>J20</f>
        <v>58.25</v>
      </c>
      <c r="E34" s="15"/>
      <c r="F34" s="15"/>
      <c r="G34" s="15"/>
      <c r="H34" s="15"/>
      <c r="I34" s="15"/>
    </row>
    <row r="35" spans="1:9">
      <c r="C35" s="39">
        <f>SUM(C32:C34)</f>
        <v>100</v>
      </c>
      <c r="D35" s="39">
        <f>SUM(D32:D34)</f>
        <v>100</v>
      </c>
      <c r="E35" s="39"/>
      <c r="F35" s="39"/>
      <c r="G35" s="39"/>
      <c r="H35" s="39"/>
      <c r="I35" s="39"/>
    </row>
  </sheetData>
  <sortState ref="A7:Y149">
    <sortCondition ref="B7:B149"/>
  </sortState>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Z41"/>
  <sheetViews>
    <sheetView workbookViewId="0"/>
  </sheetViews>
  <sheetFormatPr defaultRowHeight="14.4"/>
  <cols>
    <col min="1" max="1" width="13.6640625" customWidth="1"/>
  </cols>
  <sheetData>
    <row r="1" spans="1:26">
      <c r="A1" s="3" t="s">
        <v>1414</v>
      </c>
    </row>
    <row r="2" spans="1:26">
      <c r="A2" t="s">
        <v>1356</v>
      </c>
    </row>
    <row r="3" spans="1:26">
      <c r="A3" t="s">
        <v>1378</v>
      </c>
    </row>
    <row r="4" spans="1:26">
      <c r="A4" t="s">
        <v>1379</v>
      </c>
    </row>
    <row r="5" spans="1:26">
      <c r="B5" t="s">
        <v>289</v>
      </c>
      <c r="C5" t="s">
        <v>290</v>
      </c>
      <c r="D5" t="s">
        <v>291</v>
      </c>
      <c r="E5" t="s">
        <v>292</v>
      </c>
      <c r="F5" t="s">
        <v>293</v>
      </c>
      <c r="G5" t="s">
        <v>294</v>
      </c>
      <c r="H5" t="s">
        <v>295</v>
      </c>
      <c r="I5" t="s">
        <v>296</v>
      </c>
      <c r="J5" t="s">
        <v>297</v>
      </c>
      <c r="K5" t="s">
        <v>298</v>
      </c>
      <c r="L5" t="s">
        <v>299</v>
      </c>
      <c r="M5" t="s">
        <v>300</v>
      </c>
      <c r="N5" t="s">
        <v>301</v>
      </c>
      <c r="O5" t="s">
        <v>302</v>
      </c>
      <c r="P5" t="s">
        <v>303</v>
      </c>
      <c r="Q5" t="s">
        <v>304</v>
      </c>
      <c r="R5" t="s">
        <v>305</v>
      </c>
      <c r="S5" t="s">
        <v>306</v>
      </c>
      <c r="T5" t="s">
        <v>307</v>
      </c>
      <c r="U5" t="s">
        <v>308</v>
      </c>
      <c r="V5" t="s">
        <v>309</v>
      </c>
      <c r="W5" t="s">
        <v>310</v>
      </c>
      <c r="X5" t="s">
        <v>311</v>
      </c>
      <c r="Y5" t="s">
        <v>312</v>
      </c>
      <c r="Z5" t="s">
        <v>313</v>
      </c>
    </row>
    <row r="6" spans="1:26">
      <c r="B6" t="s">
        <v>788</v>
      </c>
      <c r="C6" t="s">
        <v>789</v>
      </c>
      <c r="D6" t="s">
        <v>790</v>
      </c>
      <c r="E6" t="s">
        <v>791</v>
      </c>
      <c r="F6" t="s">
        <v>792</v>
      </c>
      <c r="G6" t="s">
        <v>793</v>
      </c>
      <c r="H6" t="s">
        <v>794</v>
      </c>
      <c r="I6" t="s">
        <v>795</v>
      </c>
      <c r="J6" t="s">
        <v>796</v>
      </c>
      <c r="K6" t="s">
        <v>797</v>
      </c>
      <c r="L6" t="s">
        <v>798</v>
      </c>
      <c r="M6" t="s">
        <v>798</v>
      </c>
      <c r="N6" t="s">
        <v>798</v>
      </c>
      <c r="O6" t="s">
        <v>799</v>
      </c>
      <c r="P6" t="s">
        <v>799</v>
      </c>
      <c r="Q6" t="s">
        <v>799</v>
      </c>
      <c r="R6" t="s">
        <v>800</v>
      </c>
      <c r="S6" t="s">
        <v>800</v>
      </c>
      <c r="T6" t="s">
        <v>800</v>
      </c>
      <c r="U6" t="s">
        <v>801</v>
      </c>
      <c r="V6" t="s">
        <v>801</v>
      </c>
      <c r="W6" t="s">
        <v>801</v>
      </c>
      <c r="X6" t="s">
        <v>802</v>
      </c>
      <c r="Y6" t="s">
        <v>802</v>
      </c>
      <c r="Z6" t="s">
        <v>802</v>
      </c>
    </row>
    <row r="7" spans="1:26">
      <c r="A7" t="s">
        <v>972</v>
      </c>
      <c r="B7">
        <v>0</v>
      </c>
      <c r="C7">
        <v>25</v>
      </c>
      <c r="D7">
        <v>2200</v>
      </c>
      <c r="E7">
        <v>4</v>
      </c>
      <c r="F7">
        <v>0</v>
      </c>
      <c r="G7">
        <v>0</v>
      </c>
      <c r="H7">
        <v>25</v>
      </c>
      <c r="I7">
        <v>2500</v>
      </c>
      <c r="J7">
        <v>4</v>
      </c>
      <c r="K7">
        <v>0</v>
      </c>
      <c r="O7">
        <v>2</v>
      </c>
      <c r="P7">
        <v>98</v>
      </c>
      <c r="Q7">
        <v>2</v>
      </c>
      <c r="R7">
        <v>5</v>
      </c>
      <c r="S7">
        <v>65</v>
      </c>
      <c r="T7">
        <v>30</v>
      </c>
      <c r="U7">
        <v>0</v>
      </c>
      <c r="V7">
        <v>100</v>
      </c>
      <c r="W7">
        <v>0</v>
      </c>
    </row>
    <row r="8" spans="1:26">
      <c r="A8" t="s">
        <v>954</v>
      </c>
      <c r="B8">
        <v>0</v>
      </c>
      <c r="D8">
        <v>0</v>
      </c>
      <c r="G8">
        <v>0</v>
      </c>
      <c r="I8">
        <v>0</v>
      </c>
    </row>
    <row r="9" spans="1:26">
      <c r="A9" t="s">
        <v>972</v>
      </c>
      <c r="B9">
        <v>0</v>
      </c>
      <c r="E9">
        <v>0</v>
      </c>
      <c r="G9">
        <v>400</v>
      </c>
      <c r="J9">
        <v>10</v>
      </c>
      <c r="L9">
        <v>0</v>
      </c>
      <c r="M9">
        <v>100</v>
      </c>
      <c r="N9">
        <v>0</v>
      </c>
      <c r="U9">
        <v>0</v>
      </c>
      <c r="V9">
        <v>100</v>
      </c>
      <c r="W9">
        <v>0</v>
      </c>
    </row>
    <row r="10" spans="1:26">
      <c r="A10" t="s">
        <v>973</v>
      </c>
      <c r="B10">
        <v>100</v>
      </c>
      <c r="C10">
        <v>25250</v>
      </c>
      <c r="D10">
        <v>2000</v>
      </c>
      <c r="E10">
        <v>1000</v>
      </c>
      <c r="G10">
        <v>100</v>
      </c>
      <c r="H10">
        <v>25250</v>
      </c>
      <c r="I10">
        <v>2000</v>
      </c>
      <c r="J10">
        <v>1000</v>
      </c>
      <c r="L10">
        <v>90</v>
      </c>
      <c r="M10">
        <v>10</v>
      </c>
      <c r="N10">
        <v>0</v>
      </c>
      <c r="O10">
        <v>20</v>
      </c>
      <c r="P10">
        <v>50</v>
      </c>
      <c r="Q10">
        <v>30</v>
      </c>
      <c r="R10">
        <v>0</v>
      </c>
      <c r="S10">
        <v>100</v>
      </c>
      <c r="T10">
        <v>0</v>
      </c>
      <c r="U10">
        <v>0</v>
      </c>
      <c r="V10">
        <v>100</v>
      </c>
      <c r="W10">
        <v>0</v>
      </c>
    </row>
    <row r="11" spans="1:26">
      <c r="A11" t="s">
        <v>972</v>
      </c>
      <c r="B11">
        <v>146</v>
      </c>
      <c r="F11">
        <v>1</v>
      </c>
      <c r="G11">
        <v>146</v>
      </c>
      <c r="K11">
        <v>6</v>
      </c>
      <c r="X11">
        <v>0</v>
      </c>
      <c r="Y11">
        <v>100</v>
      </c>
      <c r="Z11">
        <v>0</v>
      </c>
    </row>
    <row r="12" spans="1:26">
      <c r="A12" t="s">
        <v>972</v>
      </c>
      <c r="B12">
        <v>600</v>
      </c>
      <c r="C12">
        <v>200</v>
      </c>
      <c r="D12">
        <v>3000</v>
      </c>
      <c r="E12">
        <v>500</v>
      </c>
      <c r="F12">
        <v>3000</v>
      </c>
      <c r="G12">
        <v>600</v>
      </c>
      <c r="H12">
        <v>200</v>
      </c>
      <c r="I12">
        <v>3000</v>
      </c>
      <c r="J12">
        <v>500</v>
      </c>
      <c r="K12">
        <v>3000</v>
      </c>
      <c r="L12">
        <v>50</v>
      </c>
      <c r="M12">
        <v>50</v>
      </c>
      <c r="N12">
        <v>0</v>
      </c>
      <c r="O12">
        <v>80</v>
      </c>
      <c r="P12">
        <v>20</v>
      </c>
      <c r="Q12">
        <v>0</v>
      </c>
      <c r="R12">
        <v>95</v>
      </c>
      <c r="S12">
        <v>5</v>
      </c>
      <c r="T12">
        <v>0</v>
      </c>
      <c r="U12">
        <v>98</v>
      </c>
      <c r="V12">
        <v>2</v>
      </c>
      <c r="W12">
        <v>0</v>
      </c>
      <c r="X12">
        <v>90</v>
      </c>
      <c r="Y12">
        <v>10</v>
      </c>
      <c r="Z12">
        <v>0</v>
      </c>
    </row>
    <row r="13" spans="1:26">
      <c r="A13" t="s">
        <v>972</v>
      </c>
      <c r="B13">
        <v>1000</v>
      </c>
      <c r="C13">
        <v>500</v>
      </c>
      <c r="D13">
        <v>10000</v>
      </c>
      <c r="E13">
        <v>7000</v>
      </c>
      <c r="G13">
        <v>1000</v>
      </c>
      <c r="H13">
        <v>500</v>
      </c>
      <c r="I13">
        <v>10000</v>
      </c>
      <c r="J13">
        <v>7000</v>
      </c>
      <c r="L13">
        <v>30</v>
      </c>
      <c r="M13">
        <v>70</v>
      </c>
      <c r="N13">
        <v>0</v>
      </c>
      <c r="O13">
        <v>50</v>
      </c>
      <c r="P13">
        <v>50</v>
      </c>
      <c r="Q13">
        <v>0</v>
      </c>
      <c r="R13">
        <v>40</v>
      </c>
      <c r="S13">
        <v>60</v>
      </c>
      <c r="T13">
        <v>0</v>
      </c>
      <c r="U13">
        <v>85</v>
      </c>
      <c r="V13">
        <v>15</v>
      </c>
      <c r="W13">
        <v>0</v>
      </c>
    </row>
    <row r="14" spans="1:26">
      <c r="A14" t="s">
        <v>972</v>
      </c>
      <c r="B14">
        <v>1500</v>
      </c>
      <c r="D14">
        <v>56000</v>
      </c>
      <c r="G14">
        <v>1500</v>
      </c>
      <c r="I14">
        <v>56000</v>
      </c>
      <c r="L14">
        <v>90</v>
      </c>
      <c r="M14">
        <v>10</v>
      </c>
      <c r="N14">
        <v>0</v>
      </c>
      <c r="R14">
        <v>75</v>
      </c>
      <c r="S14">
        <v>25</v>
      </c>
      <c r="T14">
        <v>0</v>
      </c>
    </row>
    <row r="15" spans="1:26">
      <c r="A15" t="s">
        <v>972</v>
      </c>
      <c r="B15">
        <v>4000</v>
      </c>
      <c r="C15">
        <v>20</v>
      </c>
      <c r="D15">
        <v>1000</v>
      </c>
      <c r="F15">
        <v>0</v>
      </c>
      <c r="L15">
        <v>0</v>
      </c>
      <c r="M15">
        <v>100</v>
      </c>
      <c r="N15">
        <v>0</v>
      </c>
      <c r="O15">
        <v>0</v>
      </c>
      <c r="P15">
        <v>100</v>
      </c>
      <c r="Q15">
        <v>0</v>
      </c>
      <c r="R15">
        <v>0</v>
      </c>
      <c r="S15">
        <v>100</v>
      </c>
      <c r="T15">
        <v>0</v>
      </c>
    </row>
    <row r="16" spans="1:26">
      <c r="A16" t="s">
        <v>972</v>
      </c>
      <c r="B16">
        <v>80000</v>
      </c>
      <c r="C16">
        <v>10000</v>
      </c>
      <c r="D16">
        <v>10000</v>
      </c>
      <c r="G16">
        <v>80000</v>
      </c>
      <c r="H16">
        <v>10000</v>
      </c>
      <c r="I16">
        <v>10000</v>
      </c>
      <c r="J16">
        <v>18000</v>
      </c>
    </row>
    <row r="17" spans="1:26">
      <c r="A17" t="s">
        <v>972</v>
      </c>
      <c r="C17">
        <v>21</v>
      </c>
      <c r="D17">
        <v>49</v>
      </c>
      <c r="E17">
        <v>6</v>
      </c>
      <c r="O17">
        <v>0</v>
      </c>
      <c r="P17">
        <v>100</v>
      </c>
      <c r="Q17">
        <v>0</v>
      </c>
      <c r="R17">
        <v>0</v>
      </c>
      <c r="S17">
        <v>100</v>
      </c>
      <c r="T17">
        <v>0</v>
      </c>
      <c r="U17">
        <v>0</v>
      </c>
      <c r="V17">
        <v>100</v>
      </c>
      <c r="W17">
        <v>0</v>
      </c>
    </row>
    <row r="18" spans="1:26">
      <c r="A18" t="s">
        <v>972</v>
      </c>
      <c r="D18">
        <v>500</v>
      </c>
      <c r="F18">
        <v>250</v>
      </c>
      <c r="I18">
        <v>500</v>
      </c>
      <c r="K18">
        <v>250</v>
      </c>
      <c r="R18">
        <v>1</v>
      </c>
      <c r="S18">
        <v>49</v>
      </c>
      <c r="T18">
        <v>50</v>
      </c>
      <c r="X18">
        <v>5</v>
      </c>
      <c r="Y18">
        <v>95</v>
      </c>
      <c r="Z18">
        <v>0</v>
      </c>
    </row>
    <row r="19" spans="1:26">
      <c r="A19" t="s">
        <v>972</v>
      </c>
      <c r="D19">
        <v>500</v>
      </c>
      <c r="I19">
        <v>500</v>
      </c>
      <c r="R19">
        <v>0</v>
      </c>
      <c r="S19">
        <v>0</v>
      </c>
      <c r="T19">
        <v>100</v>
      </c>
    </row>
    <row r="20" spans="1:26">
      <c r="A20" t="s">
        <v>972</v>
      </c>
      <c r="F20">
        <v>4444</v>
      </c>
      <c r="K20">
        <v>4444</v>
      </c>
      <c r="X20">
        <v>20</v>
      </c>
      <c r="Y20">
        <v>80</v>
      </c>
      <c r="Z20">
        <v>0</v>
      </c>
    </row>
    <row r="21" spans="1:26">
      <c r="A21" s="4" t="s">
        <v>1357</v>
      </c>
      <c r="B21" s="3">
        <f>SUM(B7:B20)</f>
        <v>87346</v>
      </c>
      <c r="C21" s="3">
        <f t="shared" ref="C21:Z21" si="0">SUM(C7:C20)</f>
        <v>36016</v>
      </c>
      <c r="D21" s="3">
        <f t="shared" si="0"/>
        <v>85249</v>
      </c>
      <c r="E21" s="3">
        <f t="shared" si="0"/>
        <v>8510</v>
      </c>
      <c r="F21" s="3">
        <f t="shared" si="0"/>
        <v>7695</v>
      </c>
      <c r="G21" s="3">
        <f t="shared" si="0"/>
        <v>83746</v>
      </c>
      <c r="H21" s="3">
        <f t="shared" si="0"/>
        <v>35975</v>
      </c>
      <c r="I21" s="3">
        <f t="shared" si="0"/>
        <v>84500</v>
      </c>
      <c r="J21" s="3">
        <f t="shared" si="0"/>
        <v>26514</v>
      </c>
      <c r="K21" s="3">
        <f t="shared" si="0"/>
        <v>7700</v>
      </c>
      <c r="L21" s="3">
        <f t="shared" si="0"/>
        <v>260</v>
      </c>
      <c r="M21" s="3">
        <f t="shared" si="0"/>
        <v>340</v>
      </c>
      <c r="N21" s="3">
        <f t="shared" si="0"/>
        <v>0</v>
      </c>
      <c r="O21" s="3">
        <f t="shared" si="0"/>
        <v>152</v>
      </c>
      <c r="P21" s="3">
        <f t="shared" si="0"/>
        <v>418</v>
      </c>
      <c r="Q21" s="3">
        <f t="shared" si="0"/>
        <v>32</v>
      </c>
      <c r="R21" s="3">
        <f t="shared" si="0"/>
        <v>216</v>
      </c>
      <c r="S21" s="3">
        <f t="shared" si="0"/>
        <v>504</v>
      </c>
      <c r="T21" s="3">
        <f t="shared" si="0"/>
        <v>180</v>
      </c>
      <c r="U21" s="3">
        <f t="shared" si="0"/>
        <v>183</v>
      </c>
      <c r="V21" s="3">
        <f t="shared" si="0"/>
        <v>417</v>
      </c>
      <c r="W21" s="3">
        <f t="shared" si="0"/>
        <v>0</v>
      </c>
      <c r="X21" s="3">
        <f t="shared" si="0"/>
        <v>115</v>
      </c>
      <c r="Y21" s="3">
        <f t="shared" si="0"/>
        <v>285</v>
      </c>
      <c r="Z21" s="3">
        <f t="shared" si="0"/>
        <v>0</v>
      </c>
    </row>
    <row r="22" spans="1:26">
      <c r="A22" s="4" t="s">
        <v>1117</v>
      </c>
      <c r="B22" s="15">
        <f>B21/10</f>
        <v>8734.6</v>
      </c>
      <c r="C22" s="15">
        <f>C21/7</f>
        <v>5145.1428571428569</v>
      </c>
      <c r="D22" s="15">
        <f>D21/11</f>
        <v>7749.909090909091</v>
      </c>
      <c r="E22" s="15">
        <f>E21/6</f>
        <v>1418.3333333333333</v>
      </c>
      <c r="F22" s="15">
        <f>F21/6</f>
        <v>1282.5</v>
      </c>
      <c r="G22" s="15">
        <f>G21/9</f>
        <v>9305.1111111111113</v>
      </c>
      <c r="H22" s="15">
        <f>H21/5</f>
        <v>7195</v>
      </c>
      <c r="I22" s="15">
        <f>I21/9</f>
        <v>9388.8888888888887</v>
      </c>
      <c r="J22" s="15">
        <f>J21/6</f>
        <v>4419</v>
      </c>
      <c r="K22" s="15">
        <f>K21/5</f>
        <v>1540</v>
      </c>
      <c r="L22" s="15">
        <f t="shared" ref="L22:Q22" si="1">L21/6</f>
        <v>43.333333333333336</v>
      </c>
      <c r="M22" s="15">
        <f t="shared" si="1"/>
        <v>56.666666666666664</v>
      </c>
      <c r="N22" s="15">
        <f t="shared" si="1"/>
        <v>0</v>
      </c>
      <c r="O22" s="15">
        <f t="shared" si="1"/>
        <v>25.333333333333332</v>
      </c>
      <c r="P22" s="15">
        <f t="shared" si="1"/>
        <v>69.666666666666671</v>
      </c>
      <c r="Q22" s="15">
        <f t="shared" si="1"/>
        <v>5.333333333333333</v>
      </c>
      <c r="R22" s="15">
        <f>R21/9</f>
        <v>24</v>
      </c>
      <c r="S22" s="15">
        <f>S21/9</f>
        <v>56</v>
      </c>
      <c r="T22" s="15">
        <f>T21/9</f>
        <v>20</v>
      </c>
      <c r="U22" s="15">
        <f>U21/6</f>
        <v>30.5</v>
      </c>
      <c r="V22" s="15">
        <f>V21/6</f>
        <v>69.5</v>
      </c>
      <c r="W22" s="15">
        <f>W21/6</f>
        <v>0</v>
      </c>
      <c r="X22" s="15">
        <f>X21/4</f>
        <v>28.75</v>
      </c>
      <c r="Y22" s="15">
        <f>Y21/4</f>
        <v>71.25</v>
      </c>
      <c r="Z22" s="15">
        <f>Z21/4</f>
        <v>0</v>
      </c>
    </row>
    <row r="23" spans="1:26">
      <c r="B23" t="s">
        <v>289</v>
      </c>
      <c r="C23" t="s">
        <v>290</v>
      </c>
      <c r="D23" t="s">
        <v>291</v>
      </c>
      <c r="E23" t="s">
        <v>292</v>
      </c>
      <c r="F23" t="s">
        <v>293</v>
      </c>
      <c r="G23" t="s">
        <v>294</v>
      </c>
      <c r="H23" t="s">
        <v>295</v>
      </c>
      <c r="I23" t="s">
        <v>296</v>
      </c>
      <c r="J23" t="s">
        <v>297</v>
      </c>
      <c r="K23" t="s">
        <v>298</v>
      </c>
      <c r="L23" t="s">
        <v>299</v>
      </c>
      <c r="M23" t="s">
        <v>300</v>
      </c>
      <c r="N23" t="s">
        <v>301</v>
      </c>
      <c r="O23" t="s">
        <v>302</v>
      </c>
      <c r="P23" t="s">
        <v>303</v>
      </c>
      <c r="Q23" t="s">
        <v>304</v>
      </c>
      <c r="R23" t="s">
        <v>305</v>
      </c>
      <c r="S23" t="s">
        <v>306</v>
      </c>
      <c r="T23" t="s">
        <v>307</v>
      </c>
      <c r="U23" t="s">
        <v>308</v>
      </c>
      <c r="V23" t="s">
        <v>309</v>
      </c>
      <c r="W23" t="s">
        <v>310</v>
      </c>
      <c r="X23" t="s">
        <v>311</v>
      </c>
      <c r="Y23" t="s">
        <v>312</v>
      </c>
      <c r="Z23" t="s">
        <v>313</v>
      </c>
    </row>
    <row r="24" spans="1:26">
      <c r="A24" s="3"/>
      <c r="B24" t="s">
        <v>788</v>
      </c>
      <c r="C24" t="s">
        <v>789</v>
      </c>
      <c r="D24" t="s">
        <v>790</v>
      </c>
      <c r="E24" t="s">
        <v>791</v>
      </c>
      <c r="F24" t="s">
        <v>792</v>
      </c>
      <c r="G24" t="s">
        <v>793</v>
      </c>
      <c r="H24" t="s">
        <v>794</v>
      </c>
      <c r="I24" t="s">
        <v>795</v>
      </c>
      <c r="J24" t="s">
        <v>796</v>
      </c>
      <c r="K24" t="s">
        <v>797</v>
      </c>
      <c r="L24" t="s">
        <v>798</v>
      </c>
      <c r="M24" t="s">
        <v>798</v>
      </c>
      <c r="N24" t="s">
        <v>798</v>
      </c>
      <c r="O24" t="s">
        <v>799</v>
      </c>
      <c r="P24" t="s">
        <v>799</v>
      </c>
      <c r="Q24" t="s">
        <v>799</v>
      </c>
      <c r="R24" t="s">
        <v>800</v>
      </c>
      <c r="S24" t="s">
        <v>800</v>
      </c>
      <c r="T24" t="s">
        <v>800</v>
      </c>
      <c r="U24" t="s">
        <v>801</v>
      </c>
      <c r="V24" t="s">
        <v>801</v>
      </c>
      <c r="W24" t="s">
        <v>801</v>
      </c>
      <c r="X24" t="s">
        <v>802</v>
      </c>
      <c r="Y24" t="s">
        <v>802</v>
      </c>
      <c r="Z24" t="s">
        <v>802</v>
      </c>
    </row>
    <row r="26" spans="1:26">
      <c r="A26" s="3" t="s">
        <v>1364</v>
      </c>
    </row>
    <row r="27" spans="1:26">
      <c r="B27" t="s">
        <v>1324</v>
      </c>
      <c r="C27" t="s">
        <v>1380</v>
      </c>
      <c r="D27" t="s">
        <v>1381</v>
      </c>
      <c r="E27" t="s">
        <v>1382</v>
      </c>
      <c r="F27" t="s">
        <v>1383</v>
      </c>
    </row>
    <row r="28" spans="1:26">
      <c r="A28" t="s">
        <v>1368</v>
      </c>
      <c r="B28" s="15">
        <f>B22</f>
        <v>8734.6</v>
      </c>
      <c r="C28" s="15">
        <f>C22</f>
        <v>5145.1428571428569</v>
      </c>
      <c r="D28" s="15">
        <f>D22</f>
        <v>7749.909090909091</v>
      </c>
      <c r="E28" s="15">
        <f>E22</f>
        <v>1418.3333333333333</v>
      </c>
      <c r="F28" s="15">
        <f>F22</f>
        <v>1282.5</v>
      </c>
      <c r="G28" s="15"/>
      <c r="H28" s="15"/>
      <c r="I28" s="15"/>
    </row>
    <row r="29" spans="1:26">
      <c r="A29" t="s">
        <v>1369</v>
      </c>
      <c r="B29" s="15">
        <f>G22</f>
        <v>9305.1111111111113</v>
      </c>
      <c r="C29" s="15">
        <f>H22</f>
        <v>7195</v>
      </c>
      <c r="D29" s="15">
        <f>I22</f>
        <v>9388.8888888888887</v>
      </c>
      <c r="E29" s="15">
        <f>J22</f>
        <v>4419</v>
      </c>
      <c r="F29" s="15">
        <f>K22</f>
        <v>1540</v>
      </c>
      <c r="G29" s="15"/>
      <c r="H29" s="15"/>
      <c r="I29" s="15"/>
    </row>
    <row r="31" spans="1:26">
      <c r="B31" t="s">
        <v>1324</v>
      </c>
      <c r="C31" t="s">
        <v>1380</v>
      </c>
      <c r="D31" t="s">
        <v>1381</v>
      </c>
      <c r="E31" t="s">
        <v>1382</v>
      </c>
      <c r="F31" t="s">
        <v>1383</v>
      </c>
    </row>
    <row r="32" spans="1:26">
      <c r="A32" t="s">
        <v>1365</v>
      </c>
      <c r="B32" s="15">
        <f>L22</f>
        <v>43.333333333333336</v>
      </c>
      <c r="C32" s="15">
        <f>O22</f>
        <v>25.333333333333332</v>
      </c>
      <c r="D32" s="15">
        <f>R22</f>
        <v>24</v>
      </c>
      <c r="E32" s="15">
        <f>U22</f>
        <v>30.5</v>
      </c>
      <c r="F32" s="15">
        <f>X22</f>
        <v>28.75</v>
      </c>
      <c r="G32" s="15"/>
      <c r="H32" s="15"/>
      <c r="I32" s="15"/>
    </row>
    <row r="33" spans="1:10">
      <c r="A33" t="s">
        <v>1366</v>
      </c>
      <c r="B33" s="15">
        <f>M22</f>
        <v>56.666666666666664</v>
      </c>
      <c r="C33" s="15">
        <f>P22</f>
        <v>69.666666666666671</v>
      </c>
      <c r="D33" s="15">
        <f>S22</f>
        <v>56</v>
      </c>
      <c r="E33" s="15">
        <f>V22</f>
        <v>69.5</v>
      </c>
      <c r="F33" s="15">
        <f>Y22</f>
        <v>71.25</v>
      </c>
      <c r="G33" s="15"/>
      <c r="H33" s="15"/>
      <c r="I33" s="15"/>
    </row>
    <row r="34" spans="1:10">
      <c r="A34" t="s">
        <v>1367</v>
      </c>
      <c r="B34" s="15">
        <f>N22</f>
        <v>0</v>
      </c>
      <c r="C34" s="15">
        <f>Q22</f>
        <v>5.333333333333333</v>
      </c>
      <c r="D34" s="15">
        <f>T22</f>
        <v>20</v>
      </c>
      <c r="E34" s="15">
        <f>W22</f>
        <v>0</v>
      </c>
      <c r="F34" s="15">
        <f>Z22</f>
        <v>0</v>
      </c>
      <c r="G34" s="15"/>
      <c r="H34" s="15"/>
      <c r="I34" s="15"/>
    </row>
    <row r="35" spans="1:10">
      <c r="B35" s="39">
        <f>SUM(B32:B34)</f>
        <v>100</v>
      </c>
      <c r="C35" s="39">
        <f>SUM(C32:C34)</f>
        <v>100.33333333333333</v>
      </c>
      <c r="D35" s="39">
        <f t="shared" ref="D35:F35" si="2">SUM(D32:D34)</f>
        <v>100</v>
      </c>
      <c r="E35" s="39">
        <f t="shared" si="2"/>
        <v>100</v>
      </c>
      <c r="F35" s="39">
        <f t="shared" si="2"/>
        <v>100</v>
      </c>
      <c r="G35" s="39"/>
      <c r="H35" s="39"/>
      <c r="I35" s="39"/>
    </row>
    <row r="37" spans="1:10">
      <c r="A37" s="1"/>
      <c r="B37" t="s">
        <v>1357</v>
      </c>
      <c r="C37" t="s">
        <v>1381</v>
      </c>
      <c r="D37" t="s">
        <v>1380</v>
      </c>
      <c r="E37" t="s">
        <v>1383</v>
      </c>
      <c r="F37" t="s">
        <v>1382</v>
      </c>
      <c r="G37" t="s">
        <v>1324</v>
      </c>
    </row>
    <row r="38" spans="1:10">
      <c r="A38" t="s">
        <v>1365</v>
      </c>
      <c r="B38" s="15">
        <f>SUM(C38:G38)/5</f>
        <v>30.316666666666663</v>
      </c>
      <c r="C38" s="15">
        <v>24</v>
      </c>
      <c r="D38" s="15">
        <v>25.333333333333332</v>
      </c>
      <c r="E38" s="15">
        <v>28.75</v>
      </c>
      <c r="F38" s="15">
        <v>30.5</v>
      </c>
      <c r="G38" s="15">
        <v>43</v>
      </c>
    </row>
    <row r="39" spans="1:10">
      <c r="A39" t="s">
        <v>1366</v>
      </c>
      <c r="B39" s="15">
        <f>SUM(C39:G39)/5</f>
        <v>64.783333333333331</v>
      </c>
      <c r="C39" s="15">
        <v>56</v>
      </c>
      <c r="D39" s="15">
        <v>69.666666666666671</v>
      </c>
      <c r="E39" s="15">
        <v>71.25</v>
      </c>
      <c r="F39" s="15">
        <v>70</v>
      </c>
      <c r="G39" s="15">
        <v>57</v>
      </c>
      <c r="I39" s="15"/>
      <c r="J39" s="15"/>
    </row>
    <row r="40" spans="1:10">
      <c r="A40" t="s">
        <v>1367</v>
      </c>
      <c r="B40" s="15">
        <f>SUM(C40:G40)/5</f>
        <v>5.0666666666666664</v>
      </c>
      <c r="C40" s="15">
        <v>20</v>
      </c>
      <c r="D40" s="15">
        <v>5.333333333333333</v>
      </c>
      <c r="E40" s="15">
        <v>0</v>
      </c>
      <c r="F40" s="15">
        <v>0</v>
      </c>
      <c r="G40" s="15">
        <v>0</v>
      </c>
      <c r="I40" s="15"/>
      <c r="J40" s="15"/>
    </row>
    <row r="41" spans="1:10">
      <c r="B41" s="15"/>
      <c r="C41" s="15"/>
      <c r="D41" s="15"/>
      <c r="E41" s="15"/>
      <c r="F41" s="15"/>
      <c r="G41" s="15"/>
      <c r="H41" s="15"/>
      <c r="I41" s="15"/>
      <c r="J41" s="15"/>
    </row>
  </sheetData>
  <sortState ref="A7:Z149">
    <sortCondition ref="B7:B149"/>
    <sortCondition ref="C7:C149"/>
    <sortCondition ref="D7:D149"/>
    <sortCondition ref="F7:F149"/>
  </sortState>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K31"/>
  <sheetViews>
    <sheetView workbookViewId="0"/>
  </sheetViews>
  <sheetFormatPr defaultRowHeight="14.4"/>
  <cols>
    <col min="1" max="1" width="15.77734375" customWidth="1"/>
  </cols>
  <sheetData>
    <row r="1" spans="1:11">
      <c r="A1" s="3" t="s">
        <v>1414</v>
      </c>
    </row>
    <row r="2" spans="1:11">
      <c r="A2" t="s">
        <v>1356</v>
      </c>
    </row>
    <row r="3" spans="1:11">
      <c r="A3" t="s">
        <v>1325</v>
      </c>
    </row>
    <row r="4" spans="1:11">
      <c r="A4" t="s">
        <v>1384</v>
      </c>
    </row>
    <row r="5" spans="1:11">
      <c r="B5" t="s">
        <v>314</v>
      </c>
      <c r="C5" t="s">
        <v>315</v>
      </c>
      <c r="D5" t="s">
        <v>316</v>
      </c>
      <c r="E5" t="s">
        <v>317</v>
      </c>
      <c r="F5" t="s">
        <v>318</v>
      </c>
      <c r="G5" t="s">
        <v>319</v>
      </c>
      <c r="H5" t="s">
        <v>320</v>
      </c>
      <c r="I5" t="s">
        <v>321</v>
      </c>
      <c r="J5" t="s">
        <v>322</v>
      </c>
      <c r="K5" t="s">
        <v>323</v>
      </c>
    </row>
    <row r="6" spans="1:11">
      <c r="B6" t="s">
        <v>803</v>
      </c>
      <c r="C6" t="s">
        <v>804</v>
      </c>
      <c r="D6" t="s">
        <v>805</v>
      </c>
      <c r="E6" t="s">
        <v>806</v>
      </c>
      <c r="F6" t="s">
        <v>807</v>
      </c>
      <c r="G6" t="s">
        <v>807</v>
      </c>
      <c r="H6" t="s">
        <v>807</v>
      </c>
      <c r="I6" t="s">
        <v>808</v>
      </c>
      <c r="J6" t="s">
        <v>808</v>
      </c>
      <c r="K6" t="s">
        <v>808</v>
      </c>
    </row>
    <row r="7" spans="1:11">
      <c r="A7" t="s">
        <v>972</v>
      </c>
      <c r="B7">
        <v>200</v>
      </c>
      <c r="C7">
        <v>150</v>
      </c>
      <c r="D7">
        <v>250</v>
      </c>
      <c r="E7">
        <v>150</v>
      </c>
      <c r="F7">
        <v>10</v>
      </c>
      <c r="G7">
        <v>80</v>
      </c>
      <c r="H7">
        <v>10</v>
      </c>
      <c r="I7">
        <v>100</v>
      </c>
      <c r="J7">
        <v>0</v>
      </c>
      <c r="K7">
        <v>0</v>
      </c>
    </row>
    <row r="8" spans="1:11">
      <c r="A8" t="s">
        <v>972</v>
      </c>
      <c r="B8">
        <v>8000</v>
      </c>
      <c r="D8">
        <v>8000</v>
      </c>
      <c r="F8">
        <v>0</v>
      </c>
      <c r="G8">
        <v>100</v>
      </c>
      <c r="H8">
        <v>0</v>
      </c>
    </row>
    <row r="9" spans="1:11">
      <c r="A9" t="s">
        <v>972</v>
      </c>
      <c r="B9">
        <v>30000</v>
      </c>
      <c r="C9">
        <v>0</v>
      </c>
      <c r="D9">
        <v>100000</v>
      </c>
      <c r="E9">
        <v>0</v>
      </c>
      <c r="F9">
        <v>1</v>
      </c>
      <c r="G9">
        <v>49</v>
      </c>
      <c r="H9">
        <v>50</v>
      </c>
    </row>
    <row r="10" spans="1:11">
      <c r="A10" t="s">
        <v>972</v>
      </c>
      <c r="C10">
        <v>1200</v>
      </c>
      <c r="E10">
        <v>2000</v>
      </c>
      <c r="I10">
        <v>0</v>
      </c>
      <c r="J10">
        <v>40</v>
      </c>
      <c r="K10">
        <v>60</v>
      </c>
    </row>
    <row r="11" spans="1:11">
      <c r="A11" t="s">
        <v>972</v>
      </c>
      <c r="C11">
        <v>30000</v>
      </c>
      <c r="E11">
        <v>16000</v>
      </c>
      <c r="I11">
        <v>10</v>
      </c>
      <c r="J11">
        <v>40</v>
      </c>
      <c r="K11">
        <v>50</v>
      </c>
    </row>
    <row r="12" spans="1:11">
      <c r="A12" s="4" t="s">
        <v>1357</v>
      </c>
      <c r="B12" s="3">
        <f>SUM(B7:B11)</f>
        <v>38200</v>
      </c>
      <c r="C12" s="3">
        <f t="shared" ref="C12:K12" si="0">SUM(C7:C11)</f>
        <v>31350</v>
      </c>
      <c r="D12" s="3">
        <f t="shared" si="0"/>
        <v>108250</v>
      </c>
      <c r="E12" s="3">
        <f t="shared" si="0"/>
        <v>18150</v>
      </c>
      <c r="F12" s="3">
        <f t="shared" si="0"/>
        <v>11</v>
      </c>
      <c r="G12" s="3">
        <f t="shared" si="0"/>
        <v>229</v>
      </c>
      <c r="H12" s="3">
        <f t="shared" si="0"/>
        <v>60</v>
      </c>
      <c r="I12" s="3">
        <f t="shared" si="0"/>
        <v>110</v>
      </c>
      <c r="J12" s="3">
        <f t="shared" si="0"/>
        <v>80</v>
      </c>
      <c r="K12" s="3">
        <f t="shared" si="0"/>
        <v>110</v>
      </c>
    </row>
    <row r="13" spans="1:11">
      <c r="A13" s="4" t="s">
        <v>1117</v>
      </c>
      <c r="B13" s="15">
        <f>B12/3</f>
        <v>12733.333333333334</v>
      </c>
      <c r="C13" s="15">
        <f>C12/5</f>
        <v>6270</v>
      </c>
      <c r="D13" s="15">
        <f>D12/3</f>
        <v>36083.333333333336</v>
      </c>
      <c r="E13" s="15">
        <f>E12/5</f>
        <v>3630</v>
      </c>
      <c r="F13" s="15">
        <f t="shared" ref="F13:K13" si="1">F12/3</f>
        <v>3.6666666666666665</v>
      </c>
      <c r="G13" s="15">
        <f t="shared" si="1"/>
        <v>76.333333333333329</v>
      </c>
      <c r="H13" s="15">
        <f t="shared" si="1"/>
        <v>20</v>
      </c>
      <c r="I13" s="15">
        <f t="shared" si="1"/>
        <v>36.666666666666664</v>
      </c>
      <c r="J13" s="15">
        <f t="shared" si="1"/>
        <v>26.666666666666668</v>
      </c>
      <c r="K13" s="15">
        <f t="shared" si="1"/>
        <v>36.666666666666664</v>
      </c>
    </row>
    <row r="14" spans="1:11">
      <c r="B14" t="s">
        <v>314</v>
      </c>
      <c r="C14" t="s">
        <v>315</v>
      </c>
      <c r="D14" t="s">
        <v>316</v>
      </c>
      <c r="E14" t="s">
        <v>317</v>
      </c>
      <c r="F14" t="s">
        <v>318</v>
      </c>
      <c r="G14" t="s">
        <v>319</v>
      </c>
      <c r="H14" t="s">
        <v>320</v>
      </c>
      <c r="I14" t="s">
        <v>321</v>
      </c>
      <c r="J14" t="s">
        <v>322</v>
      </c>
      <c r="K14" t="s">
        <v>323</v>
      </c>
    </row>
    <row r="15" spans="1:11">
      <c r="B15" t="s">
        <v>803</v>
      </c>
      <c r="C15" t="s">
        <v>804</v>
      </c>
      <c r="D15" t="s">
        <v>805</v>
      </c>
      <c r="E15" t="s">
        <v>806</v>
      </c>
      <c r="F15" t="s">
        <v>807</v>
      </c>
      <c r="G15" t="s">
        <v>807</v>
      </c>
      <c r="H15" t="s">
        <v>807</v>
      </c>
      <c r="I15" t="s">
        <v>808</v>
      </c>
      <c r="J15" t="s">
        <v>808</v>
      </c>
      <c r="K15" t="s">
        <v>808</v>
      </c>
    </row>
    <row r="17" spans="1:7">
      <c r="A17" s="3" t="s">
        <v>1364</v>
      </c>
    </row>
    <row r="18" spans="1:7">
      <c r="B18" t="s">
        <v>1326</v>
      </c>
      <c r="C18" t="s">
        <v>1385</v>
      </c>
    </row>
    <row r="19" spans="1:7">
      <c r="A19" t="s">
        <v>1368</v>
      </c>
      <c r="B19" s="15">
        <f>B13</f>
        <v>12733.333333333334</v>
      </c>
      <c r="C19" s="15">
        <f>C13</f>
        <v>6270</v>
      </c>
      <c r="D19" s="15"/>
      <c r="E19" s="15"/>
      <c r="F19" s="15"/>
      <c r="G19" s="15"/>
    </row>
    <row r="20" spans="1:7">
      <c r="A20" t="s">
        <v>1369</v>
      </c>
      <c r="B20" s="15">
        <f>D13</f>
        <v>36083.333333333336</v>
      </c>
      <c r="C20" s="15">
        <f>E13</f>
        <v>3630</v>
      </c>
      <c r="D20" s="15"/>
      <c r="E20" s="15"/>
      <c r="F20" s="15"/>
      <c r="G20" s="15"/>
    </row>
    <row r="22" spans="1:7">
      <c r="B22" t="s">
        <v>1326</v>
      </c>
      <c r="C22" t="s">
        <v>1385</v>
      </c>
    </row>
    <row r="23" spans="1:7">
      <c r="A23" t="s">
        <v>1365</v>
      </c>
      <c r="B23" s="15">
        <f>F13</f>
        <v>3.6666666666666665</v>
      </c>
      <c r="C23" s="15">
        <f>I13</f>
        <v>36.666666666666664</v>
      </c>
      <c r="D23" s="15"/>
      <c r="E23" s="15"/>
      <c r="F23" s="15"/>
      <c r="G23" s="15"/>
    </row>
    <row r="24" spans="1:7">
      <c r="A24" t="s">
        <v>1366</v>
      </c>
      <c r="B24" s="15">
        <f>G13</f>
        <v>76.333333333333329</v>
      </c>
      <c r="C24" s="15">
        <f>J13</f>
        <v>26.666666666666668</v>
      </c>
      <c r="D24" s="15"/>
      <c r="E24" s="15"/>
      <c r="F24" s="15"/>
      <c r="G24" s="15"/>
    </row>
    <row r="25" spans="1:7">
      <c r="A25" t="s">
        <v>1367</v>
      </c>
      <c r="B25" s="15">
        <f>H13</f>
        <v>20</v>
      </c>
      <c r="C25" s="15">
        <f>K13</f>
        <v>36.666666666666664</v>
      </c>
      <c r="D25" s="15"/>
      <c r="E25" s="15"/>
      <c r="F25" s="15"/>
      <c r="G25" s="15"/>
    </row>
    <row r="26" spans="1:7">
      <c r="B26" s="39">
        <f>SUM(B23:B25)</f>
        <v>100</v>
      </c>
      <c r="C26" s="39">
        <f>SUM(C23:C25)</f>
        <v>100</v>
      </c>
      <c r="D26" s="39"/>
      <c r="E26" s="39"/>
      <c r="F26" s="39"/>
      <c r="G26" s="39"/>
    </row>
    <row r="28" spans="1:7">
      <c r="A28" s="1"/>
      <c r="B28" t="s">
        <v>978</v>
      </c>
      <c r="C28" t="s">
        <v>1326</v>
      </c>
      <c r="D28" t="s">
        <v>1385</v>
      </c>
    </row>
    <row r="29" spans="1:7">
      <c r="A29" t="s">
        <v>1365</v>
      </c>
      <c r="B29" s="15">
        <f>SUM(C29:D29)/2</f>
        <v>20.166666666666664</v>
      </c>
      <c r="C29" s="15">
        <v>3.6666666666666665</v>
      </c>
      <c r="D29" s="15">
        <v>36.666666666666664</v>
      </c>
      <c r="F29" s="15"/>
      <c r="G29" s="15"/>
    </row>
    <row r="30" spans="1:7">
      <c r="A30" t="s">
        <v>1366</v>
      </c>
      <c r="B30" s="15">
        <f>SUM(C30:D30)/2</f>
        <v>51.333333333333336</v>
      </c>
      <c r="C30" s="15">
        <v>76</v>
      </c>
      <c r="D30" s="15">
        <v>26.666666666666668</v>
      </c>
      <c r="F30" s="15"/>
      <c r="G30" s="15"/>
    </row>
    <row r="31" spans="1:7">
      <c r="A31" t="s">
        <v>1367</v>
      </c>
      <c r="B31" s="15">
        <f>SUM(C31:D31)/2</f>
        <v>28.333333333333332</v>
      </c>
      <c r="C31" s="15">
        <v>20</v>
      </c>
      <c r="D31" s="15">
        <v>36.666666666666664</v>
      </c>
      <c r="F31" s="15"/>
      <c r="G31" s="15"/>
    </row>
  </sheetData>
  <sortState ref="A7:K149">
    <sortCondition ref="B7:B149"/>
    <sortCondition ref="C7:C149"/>
  </sortState>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U33"/>
  <sheetViews>
    <sheetView workbookViewId="0"/>
  </sheetViews>
  <sheetFormatPr defaultRowHeight="14.4"/>
  <cols>
    <col min="1" max="1" width="13.88671875" customWidth="1"/>
  </cols>
  <sheetData>
    <row r="1" spans="1:21">
      <c r="A1" s="3" t="s">
        <v>1414</v>
      </c>
    </row>
    <row r="2" spans="1:21">
      <c r="A2" t="s">
        <v>1356</v>
      </c>
    </row>
    <row r="3" spans="1:21">
      <c r="A3" t="s">
        <v>1386</v>
      </c>
    </row>
    <row r="4" spans="1:21">
      <c r="A4" t="s">
        <v>1387</v>
      </c>
    </row>
    <row r="5" spans="1:21">
      <c r="B5" t="s">
        <v>324</v>
      </c>
      <c r="C5" t="s">
        <v>325</v>
      </c>
      <c r="D5" t="s">
        <v>326</v>
      </c>
      <c r="E5" t="s">
        <v>327</v>
      </c>
      <c r="F5" t="s">
        <v>328</v>
      </c>
      <c r="G5" t="s">
        <v>329</v>
      </c>
      <c r="H5" t="s">
        <v>330</v>
      </c>
      <c r="I5" t="s">
        <v>331</v>
      </c>
      <c r="J5" t="s">
        <v>332</v>
      </c>
      <c r="K5" t="s">
        <v>333</v>
      </c>
      <c r="L5" t="s">
        <v>334</v>
      </c>
      <c r="M5" t="s">
        <v>335</v>
      </c>
      <c r="N5" t="s">
        <v>336</v>
      </c>
      <c r="O5" t="s">
        <v>337</v>
      </c>
      <c r="P5" t="s">
        <v>338</v>
      </c>
      <c r="Q5" t="s">
        <v>339</v>
      </c>
      <c r="R5" t="s">
        <v>340</v>
      </c>
      <c r="S5" t="s">
        <v>341</v>
      </c>
      <c r="T5" t="s">
        <v>342</v>
      </c>
      <c r="U5" t="s">
        <v>343</v>
      </c>
    </row>
    <row r="6" spans="1:21">
      <c r="B6" t="s">
        <v>809</v>
      </c>
      <c r="C6" t="s">
        <v>810</v>
      </c>
      <c r="D6" t="s">
        <v>811</v>
      </c>
      <c r="E6" t="s">
        <v>812</v>
      </c>
      <c r="F6" t="s">
        <v>813</v>
      </c>
      <c r="G6" t="s">
        <v>813</v>
      </c>
      <c r="H6" t="s">
        <v>813</v>
      </c>
      <c r="I6" t="s">
        <v>814</v>
      </c>
      <c r="J6" t="s">
        <v>814</v>
      </c>
      <c r="K6" t="s">
        <v>814</v>
      </c>
      <c r="L6" t="s">
        <v>815</v>
      </c>
      <c r="M6" t="s">
        <v>815</v>
      </c>
      <c r="N6" t="s">
        <v>815</v>
      </c>
      <c r="O6" t="s">
        <v>816</v>
      </c>
      <c r="P6" t="s">
        <v>816</v>
      </c>
      <c r="Q6" t="s">
        <v>816</v>
      </c>
      <c r="R6" t="s">
        <v>817</v>
      </c>
      <c r="S6" t="s">
        <v>818</v>
      </c>
      <c r="T6" t="s">
        <v>819</v>
      </c>
      <c r="U6" t="s">
        <v>820</v>
      </c>
    </row>
    <row r="7" spans="1:21">
      <c r="A7" t="s">
        <v>972</v>
      </c>
      <c r="B7">
        <v>0</v>
      </c>
      <c r="C7">
        <v>0</v>
      </c>
      <c r="E7">
        <v>30</v>
      </c>
      <c r="F7">
        <v>100</v>
      </c>
      <c r="G7">
        <v>0</v>
      </c>
      <c r="H7">
        <v>0</v>
      </c>
      <c r="I7">
        <v>100</v>
      </c>
      <c r="J7">
        <v>0</v>
      </c>
      <c r="K7">
        <v>0</v>
      </c>
      <c r="O7">
        <v>100</v>
      </c>
      <c r="P7">
        <v>0</v>
      </c>
      <c r="Q7">
        <v>0</v>
      </c>
      <c r="R7">
        <v>4</v>
      </c>
      <c r="S7">
        <v>1</v>
      </c>
      <c r="U7">
        <v>30</v>
      </c>
    </row>
    <row r="8" spans="1:21">
      <c r="A8" t="s">
        <v>972</v>
      </c>
      <c r="B8">
        <v>1</v>
      </c>
      <c r="F8">
        <v>100</v>
      </c>
      <c r="G8">
        <v>0</v>
      </c>
      <c r="H8">
        <v>0</v>
      </c>
    </row>
    <row r="9" spans="1:21">
      <c r="A9" t="s">
        <v>972</v>
      </c>
      <c r="B9">
        <v>1</v>
      </c>
      <c r="R9">
        <v>0</v>
      </c>
    </row>
    <row r="10" spans="1:21">
      <c r="A10" t="s">
        <v>972</v>
      </c>
      <c r="B10">
        <v>8</v>
      </c>
      <c r="C10">
        <v>0</v>
      </c>
      <c r="E10">
        <v>0</v>
      </c>
      <c r="F10">
        <v>100</v>
      </c>
      <c r="G10">
        <v>0</v>
      </c>
      <c r="H10">
        <v>0</v>
      </c>
      <c r="I10">
        <v>100</v>
      </c>
      <c r="J10">
        <v>0</v>
      </c>
      <c r="K10">
        <v>0</v>
      </c>
      <c r="O10">
        <v>100</v>
      </c>
      <c r="P10">
        <v>0</v>
      </c>
      <c r="Q10">
        <v>0</v>
      </c>
      <c r="R10">
        <v>350</v>
      </c>
      <c r="S10">
        <v>5</v>
      </c>
      <c r="U10">
        <v>5</v>
      </c>
    </row>
    <row r="11" spans="1:21">
      <c r="A11" t="s">
        <v>972</v>
      </c>
      <c r="B11">
        <v>45</v>
      </c>
      <c r="C11">
        <v>2</v>
      </c>
      <c r="D11">
        <v>1</v>
      </c>
      <c r="E11">
        <v>100</v>
      </c>
      <c r="F11">
        <v>0</v>
      </c>
      <c r="G11">
        <v>100</v>
      </c>
      <c r="H11">
        <v>0</v>
      </c>
      <c r="I11">
        <v>0</v>
      </c>
      <c r="J11">
        <v>100</v>
      </c>
      <c r="K11">
        <v>0</v>
      </c>
      <c r="L11">
        <v>0</v>
      </c>
      <c r="M11">
        <v>100</v>
      </c>
      <c r="N11">
        <v>0</v>
      </c>
      <c r="O11">
        <v>0</v>
      </c>
      <c r="P11">
        <v>100</v>
      </c>
      <c r="Q11">
        <v>0</v>
      </c>
    </row>
    <row r="12" spans="1:21">
      <c r="A12" t="s">
        <v>972</v>
      </c>
      <c r="C12">
        <v>0</v>
      </c>
      <c r="D12">
        <v>0</v>
      </c>
      <c r="E12">
        <v>10</v>
      </c>
      <c r="O12">
        <v>100</v>
      </c>
      <c r="P12">
        <v>0</v>
      </c>
      <c r="Q12">
        <v>0</v>
      </c>
      <c r="S12">
        <v>0</v>
      </c>
      <c r="T12">
        <v>0</v>
      </c>
      <c r="U12">
        <v>10</v>
      </c>
    </row>
    <row r="13" spans="1:21">
      <c r="A13" t="s">
        <v>954</v>
      </c>
      <c r="D13">
        <v>336</v>
      </c>
    </row>
    <row r="14" spans="1:21">
      <c r="A14" s="4" t="s">
        <v>1357</v>
      </c>
      <c r="B14" s="3">
        <f>SUM(B7:B13)</f>
        <v>55</v>
      </c>
      <c r="C14" s="3">
        <f t="shared" ref="C14:U14" si="0">SUM(C7:C13)</f>
        <v>2</v>
      </c>
      <c r="D14" s="3">
        <f t="shared" si="0"/>
        <v>337</v>
      </c>
      <c r="E14" s="3">
        <f t="shared" si="0"/>
        <v>140</v>
      </c>
      <c r="F14" s="3">
        <f t="shared" si="0"/>
        <v>300</v>
      </c>
      <c r="G14" s="3">
        <f t="shared" si="0"/>
        <v>100</v>
      </c>
      <c r="H14" s="3">
        <f t="shared" si="0"/>
        <v>0</v>
      </c>
      <c r="I14" s="3">
        <f t="shared" si="0"/>
        <v>200</v>
      </c>
      <c r="J14" s="3">
        <f t="shared" si="0"/>
        <v>100</v>
      </c>
      <c r="K14" s="3">
        <f t="shared" si="0"/>
        <v>0</v>
      </c>
      <c r="L14" s="3">
        <f t="shared" si="0"/>
        <v>0</v>
      </c>
      <c r="M14" s="3">
        <f t="shared" si="0"/>
        <v>100</v>
      </c>
      <c r="N14" s="3">
        <f t="shared" si="0"/>
        <v>0</v>
      </c>
      <c r="O14" s="3">
        <f t="shared" si="0"/>
        <v>300</v>
      </c>
      <c r="P14" s="3">
        <f t="shared" si="0"/>
        <v>100</v>
      </c>
      <c r="Q14" s="3">
        <f t="shared" si="0"/>
        <v>0</v>
      </c>
      <c r="R14" s="3">
        <f t="shared" si="0"/>
        <v>354</v>
      </c>
      <c r="S14" s="3">
        <f t="shared" si="0"/>
        <v>6</v>
      </c>
      <c r="T14" s="3">
        <f t="shared" si="0"/>
        <v>0</v>
      </c>
      <c r="U14" s="3">
        <f t="shared" si="0"/>
        <v>45</v>
      </c>
    </row>
    <row r="15" spans="1:21">
      <c r="A15" s="4" t="s">
        <v>1117</v>
      </c>
      <c r="B15" s="15">
        <f>B14/5</f>
        <v>11</v>
      </c>
      <c r="C15" s="15">
        <f>C14/4</f>
        <v>0.5</v>
      </c>
      <c r="D15" s="15">
        <f>D14/3</f>
        <v>112.33333333333333</v>
      </c>
      <c r="E15" s="15">
        <f>E14/4</f>
        <v>35</v>
      </c>
      <c r="F15" s="15">
        <f>F14/4</f>
        <v>75</v>
      </c>
      <c r="G15" s="15">
        <f>G14/4</f>
        <v>25</v>
      </c>
      <c r="H15" s="15">
        <f>H14/4</f>
        <v>0</v>
      </c>
      <c r="I15" s="15">
        <f>I14/3</f>
        <v>66.666666666666671</v>
      </c>
      <c r="J15" s="15">
        <f>J14/3</f>
        <v>33.333333333333336</v>
      </c>
      <c r="K15" s="15">
        <f>K14/3</f>
        <v>0</v>
      </c>
      <c r="L15" s="15">
        <f>L14/1</f>
        <v>0</v>
      </c>
      <c r="M15" s="15">
        <f>M14/1</f>
        <v>100</v>
      </c>
      <c r="N15" s="15">
        <f>N14/1</f>
        <v>0</v>
      </c>
      <c r="O15" s="15">
        <f>O14/4</f>
        <v>75</v>
      </c>
      <c r="P15" s="15">
        <f>P14/4</f>
        <v>25</v>
      </c>
      <c r="Q15" s="15">
        <f>Q14/4</f>
        <v>0</v>
      </c>
      <c r="R15" s="15">
        <f>R14/3</f>
        <v>118</v>
      </c>
      <c r="S15" s="15">
        <f>S14/3</f>
        <v>2</v>
      </c>
      <c r="T15" s="15">
        <f>T14/1</f>
        <v>0</v>
      </c>
      <c r="U15" s="15">
        <f>U14/3</f>
        <v>15</v>
      </c>
    </row>
    <row r="16" spans="1:21">
      <c r="B16" t="s">
        <v>324</v>
      </c>
      <c r="C16" t="s">
        <v>325</v>
      </c>
      <c r="D16" t="s">
        <v>326</v>
      </c>
      <c r="E16" t="s">
        <v>327</v>
      </c>
      <c r="F16" t="s">
        <v>328</v>
      </c>
      <c r="G16" t="s">
        <v>329</v>
      </c>
      <c r="H16" t="s">
        <v>330</v>
      </c>
      <c r="I16" t="s">
        <v>331</v>
      </c>
      <c r="J16" t="s">
        <v>332</v>
      </c>
      <c r="K16" t="s">
        <v>333</v>
      </c>
      <c r="L16" t="s">
        <v>334</v>
      </c>
      <c r="M16" t="s">
        <v>335</v>
      </c>
      <c r="N16" t="s">
        <v>336</v>
      </c>
      <c r="O16" t="s">
        <v>337</v>
      </c>
      <c r="P16" t="s">
        <v>338</v>
      </c>
      <c r="Q16" t="s">
        <v>339</v>
      </c>
      <c r="R16" t="s">
        <v>340</v>
      </c>
      <c r="S16" t="s">
        <v>341</v>
      </c>
      <c r="T16" t="s">
        <v>342</v>
      </c>
      <c r="U16" t="s">
        <v>343</v>
      </c>
    </row>
    <row r="17" spans="1:21">
      <c r="B17" t="s">
        <v>809</v>
      </c>
      <c r="C17" t="s">
        <v>810</v>
      </c>
      <c r="D17" t="s">
        <v>811</v>
      </c>
      <c r="E17" t="s">
        <v>812</v>
      </c>
      <c r="F17" t="s">
        <v>813</v>
      </c>
      <c r="G17" t="s">
        <v>813</v>
      </c>
      <c r="H17" t="s">
        <v>813</v>
      </c>
      <c r="I17" t="s">
        <v>814</v>
      </c>
      <c r="J17" t="s">
        <v>814</v>
      </c>
      <c r="K17" t="s">
        <v>814</v>
      </c>
      <c r="L17" t="s">
        <v>815</v>
      </c>
      <c r="M17" t="s">
        <v>815</v>
      </c>
      <c r="N17" t="s">
        <v>815</v>
      </c>
      <c r="O17" t="s">
        <v>816</v>
      </c>
      <c r="P17" t="s">
        <v>816</v>
      </c>
      <c r="Q17" t="s">
        <v>816</v>
      </c>
      <c r="R17" t="s">
        <v>817</v>
      </c>
      <c r="S17" t="s">
        <v>818</v>
      </c>
      <c r="T17" t="s">
        <v>819</v>
      </c>
      <c r="U17" t="s">
        <v>820</v>
      </c>
    </row>
    <row r="19" spans="1:21">
      <c r="A19" s="3" t="s">
        <v>1364</v>
      </c>
    </row>
    <row r="20" spans="1:21">
      <c r="B20" t="s">
        <v>1329</v>
      </c>
      <c r="C20" t="s">
        <v>1332</v>
      </c>
      <c r="D20" t="s">
        <v>1388</v>
      </c>
      <c r="E20" t="s">
        <v>1331</v>
      </c>
    </row>
    <row r="21" spans="1:21">
      <c r="A21" t="s">
        <v>1368</v>
      </c>
      <c r="B21" s="15">
        <f>B15</f>
        <v>11</v>
      </c>
      <c r="C21" s="15">
        <f>C15</f>
        <v>0.5</v>
      </c>
      <c r="D21" s="15">
        <f>D15</f>
        <v>112.33333333333333</v>
      </c>
      <c r="E21" s="15">
        <f>E15</f>
        <v>35</v>
      </c>
      <c r="F21" s="15"/>
    </row>
    <row r="22" spans="1:21">
      <c r="A22" t="s">
        <v>1369</v>
      </c>
      <c r="B22" s="15">
        <f>R15</f>
        <v>118</v>
      </c>
      <c r="C22" s="15">
        <f>S15</f>
        <v>2</v>
      </c>
      <c r="D22" s="15">
        <f>T15</f>
        <v>0</v>
      </c>
      <c r="E22" s="15">
        <f>U15</f>
        <v>15</v>
      </c>
      <c r="F22" s="15"/>
    </row>
    <row r="24" spans="1:21">
      <c r="B24" t="s">
        <v>1329</v>
      </c>
      <c r="C24" t="s">
        <v>1332</v>
      </c>
      <c r="D24" t="s">
        <v>1388</v>
      </c>
      <c r="E24" t="s">
        <v>1331</v>
      </c>
    </row>
    <row r="25" spans="1:21">
      <c r="A25" t="s">
        <v>1365</v>
      </c>
      <c r="B25" s="15">
        <f>F15</f>
        <v>75</v>
      </c>
      <c r="C25" s="15">
        <f>I15</f>
        <v>66.666666666666671</v>
      </c>
      <c r="D25" s="15">
        <f>L15</f>
        <v>0</v>
      </c>
      <c r="E25" s="15">
        <f>O15</f>
        <v>75</v>
      </c>
      <c r="F25" s="15"/>
    </row>
    <row r="26" spans="1:21">
      <c r="A26" t="s">
        <v>1366</v>
      </c>
      <c r="B26" s="15">
        <f>G15</f>
        <v>25</v>
      </c>
      <c r="C26" s="15">
        <f>J15</f>
        <v>33.333333333333336</v>
      </c>
      <c r="D26" s="15">
        <f>M15</f>
        <v>100</v>
      </c>
      <c r="E26" s="15">
        <f>P15</f>
        <v>25</v>
      </c>
      <c r="F26" s="15"/>
    </row>
    <row r="27" spans="1:21">
      <c r="A27" t="s">
        <v>1367</v>
      </c>
      <c r="B27" s="15">
        <f>H15</f>
        <v>0</v>
      </c>
      <c r="C27" s="15">
        <f>K15</f>
        <v>0</v>
      </c>
      <c r="D27" s="15">
        <f>N15</f>
        <v>0</v>
      </c>
      <c r="E27" s="15">
        <f>Q15</f>
        <v>0</v>
      </c>
      <c r="F27" s="15"/>
    </row>
    <row r="28" spans="1:21">
      <c r="B28" s="39">
        <f>SUM(B25:B27)</f>
        <v>100</v>
      </c>
      <c r="C28" s="39">
        <f>SUM(C25:C27)</f>
        <v>100</v>
      </c>
      <c r="D28" s="39">
        <f t="shared" ref="D28:E28" si="1">SUM(D25:D27)</f>
        <v>100</v>
      </c>
      <c r="E28" s="39">
        <f t="shared" si="1"/>
        <v>100</v>
      </c>
      <c r="F28" s="39"/>
    </row>
    <row r="30" spans="1:21">
      <c r="A30" s="1"/>
      <c r="B30" t="s">
        <v>1357</v>
      </c>
      <c r="C30" t="s">
        <v>1330</v>
      </c>
      <c r="D30" t="s">
        <v>1332</v>
      </c>
      <c r="E30" t="s">
        <v>1331</v>
      </c>
      <c r="F30" t="s">
        <v>1329</v>
      </c>
    </row>
    <row r="31" spans="1:21">
      <c r="A31" t="s">
        <v>1365</v>
      </c>
      <c r="B31" s="15">
        <f>SUM(D31:F31)/4</f>
        <v>54.166666666666671</v>
      </c>
      <c r="C31" s="15">
        <v>0</v>
      </c>
      <c r="D31" s="15">
        <v>66.666666666666671</v>
      </c>
      <c r="E31" s="15">
        <v>75</v>
      </c>
      <c r="F31" s="15">
        <v>75</v>
      </c>
    </row>
    <row r="32" spans="1:21">
      <c r="A32" t="s">
        <v>1366</v>
      </c>
      <c r="B32" s="15">
        <f>SUM(D32:F32)/4</f>
        <v>20.833333333333336</v>
      </c>
      <c r="C32" s="15">
        <v>100</v>
      </c>
      <c r="D32" s="15">
        <v>33.333333333333336</v>
      </c>
      <c r="E32" s="15">
        <v>25</v>
      </c>
      <c r="F32" s="15">
        <v>25</v>
      </c>
    </row>
    <row r="33" spans="1:6">
      <c r="A33" t="s">
        <v>1367</v>
      </c>
      <c r="B33" s="15">
        <f>SUM(D33:F33)/4</f>
        <v>0</v>
      </c>
      <c r="C33" s="15">
        <v>0</v>
      </c>
      <c r="D33" s="15">
        <v>0</v>
      </c>
      <c r="E33" s="15">
        <v>0</v>
      </c>
      <c r="F33" s="15">
        <v>0</v>
      </c>
    </row>
  </sheetData>
  <sortState ref="A7:U149">
    <sortCondition ref="B7:B149"/>
    <sortCondition ref="C7:C149"/>
  </sortState>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AK41"/>
  <sheetViews>
    <sheetView workbookViewId="0">
      <selection activeCell="B1" sqref="B1"/>
    </sheetView>
  </sheetViews>
  <sheetFormatPr defaultRowHeight="14.4"/>
  <cols>
    <col min="1" max="1" width="15.88671875" customWidth="1"/>
  </cols>
  <sheetData>
    <row r="1" spans="1:37">
      <c r="A1" s="3" t="s">
        <v>1414</v>
      </c>
    </row>
    <row r="2" spans="1:37">
      <c r="A2" t="s">
        <v>1356</v>
      </c>
    </row>
    <row r="3" spans="1:37">
      <c r="A3" t="s">
        <v>1389</v>
      </c>
    </row>
    <row r="4" spans="1:37">
      <c r="A4" t="s">
        <v>1225</v>
      </c>
    </row>
    <row r="5" spans="1:37">
      <c r="B5" t="s">
        <v>344</v>
      </c>
      <c r="C5" t="s">
        <v>345</v>
      </c>
      <c r="D5" t="s">
        <v>346</v>
      </c>
      <c r="E5" t="s">
        <v>347</v>
      </c>
      <c r="F5" t="s">
        <v>348</v>
      </c>
      <c r="G5" t="s">
        <v>349</v>
      </c>
      <c r="H5" t="s">
        <v>350</v>
      </c>
      <c r="I5" t="s">
        <v>351</v>
      </c>
      <c r="J5" t="s">
        <v>352</v>
      </c>
      <c r="K5" t="s">
        <v>353</v>
      </c>
      <c r="L5" t="s">
        <v>354</v>
      </c>
      <c r="M5" t="s">
        <v>355</v>
      </c>
      <c r="N5" t="s">
        <v>356</v>
      </c>
      <c r="O5" t="s">
        <v>357</v>
      </c>
      <c r="P5" t="s">
        <v>358</v>
      </c>
      <c r="Q5" t="s">
        <v>359</v>
      </c>
      <c r="R5" t="s">
        <v>360</v>
      </c>
      <c r="S5" t="s">
        <v>361</v>
      </c>
      <c r="T5" t="s">
        <v>378</v>
      </c>
      <c r="U5" t="s">
        <v>379</v>
      </c>
      <c r="V5" t="s">
        <v>380</v>
      </c>
      <c r="W5" t="s">
        <v>381</v>
      </c>
      <c r="X5" t="s">
        <v>382</v>
      </c>
      <c r="Y5" t="s">
        <v>383</v>
      </c>
      <c r="Z5" t="s">
        <v>384</v>
      </c>
      <c r="AA5" t="s">
        <v>385</v>
      </c>
      <c r="AB5" t="s">
        <v>386</v>
      </c>
      <c r="AC5" t="s">
        <v>387</v>
      </c>
      <c r="AD5" t="s">
        <v>388</v>
      </c>
      <c r="AE5" t="s">
        <v>389</v>
      </c>
      <c r="AF5" t="s">
        <v>390</v>
      </c>
      <c r="AG5" t="s">
        <v>391</v>
      </c>
      <c r="AH5" t="s">
        <v>392</v>
      </c>
      <c r="AI5" t="s">
        <v>393</v>
      </c>
      <c r="AJ5" t="s">
        <v>394</v>
      </c>
      <c r="AK5" t="s">
        <v>395</v>
      </c>
    </row>
    <row r="6" spans="1:37">
      <c r="B6" t="s">
        <v>821</v>
      </c>
      <c r="C6" t="s">
        <v>822</v>
      </c>
      <c r="D6" t="s">
        <v>823</v>
      </c>
      <c r="E6" t="s">
        <v>824</v>
      </c>
      <c r="F6" t="s">
        <v>825</v>
      </c>
      <c r="G6" t="s">
        <v>826</v>
      </c>
      <c r="H6" t="s">
        <v>827</v>
      </c>
      <c r="I6" t="s">
        <v>828</v>
      </c>
      <c r="J6" t="s">
        <v>829</v>
      </c>
      <c r="K6" t="s">
        <v>830</v>
      </c>
      <c r="L6" t="s">
        <v>831</v>
      </c>
      <c r="M6" t="s">
        <v>832</v>
      </c>
      <c r="N6" t="s">
        <v>827</v>
      </c>
      <c r="O6" t="s">
        <v>828</v>
      </c>
      <c r="P6" t="s">
        <v>829</v>
      </c>
      <c r="Q6" t="s">
        <v>830</v>
      </c>
      <c r="R6" t="s">
        <v>831</v>
      </c>
      <c r="S6" t="s">
        <v>832</v>
      </c>
      <c r="T6" t="s">
        <v>849</v>
      </c>
      <c r="U6" t="s">
        <v>849</v>
      </c>
      <c r="V6" t="s">
        <v>849</v>
      </c>
      <c r="W6" t="s">
        <v>850</v>
      </c>
      <c r="X6" t="s">
        <v>850</v>
      </c>
      <c r="Y6" t="s">
        <v>850</v>
      </c>
      <c r="Z6" t="s">
        <v>851</v>
      </c>
      <c r="AA6" t="s">
        <v>851</v>
      </c>
      <c r="AB6" t="s">
        <v>851</v>
      </c>
      <c r="AC6" t="s">
        <v>852</v>
      </c>
      <c r="AD6" t="s">
        <v>852</v>
      </c>
      <c r="AE6" t="s">
        <v>852</v>
      </c>
      <c r="AF6" t="s">
        <v>853</v>
      </c>
      <c r="AG6" t="s">
        <v>853</v>
      </c>
      <c r="AH6" t="s">
        <v>853</v>
      </c>
      <c r="AI6" t="s">
        <v>854</v>
      </c>
      <c r="AJ6" t="s">
        <v>854</v>
      </c>
      <c r="AK6" t="s">
        <v>854</v>
      </c>
    </row>
    <row r="7" spans="1:37">
      <c r="A7" t="s">
        <v>974</v>
      </c>
      <c r="B7">
        <v>10</v>
      </c>
      <c r="C7">
        <v>30</v>
      </c>
      <c r="E7">
        <v>10</v>
      </c>
      <c r="F7">
        <v>10</v>
      </c>
      <c r="T7">
        <v>0</v>
      </c>
      <c r="U7">
        <v>100</v>
      </c>
      <c r="V7">
        <v>0</v>
      </c>
      <c r="W7">
        <v>0</v>
      </c>
      <c r="X7">
        <v>100</v>
      </c>
      <c r="Y7">
        <v>0</v>
      </c>
      <c r="AC7">
        <v>0</v>
      </c>
      <c r="AD7">
        <v>100</v>
      </c>
      <c r="AE7">
        <v>0</v>
      </c>
      <c r="AF7">
        <v>0</v>
      </c>
      <c r="AG7">
        <v>100</v>
      </c>
      <c r="AH7">
        <v>0</v>
      </c>
    </row>
    <row r="8" spans="1:37">
      <c r="A8" t="s">
        <v>972</v>
      </c>
      <c r="B8">
        <v>14</v>
      </c>
      <c r="E8">
        <v>42</v>
      </c>
      <c r="F8">
        <v>0</v>
      </c>
      <c r="H8">
        <v>6</v>
      </c>
      <c r="K8">
        <v>25</v>
      </c>
      <c r="L8">
        <v>0</v>
      </c>
      <c r="N8">
        <v>0</v>
      </c>
      <c r="Q8">
        <v>1</v>
      </c>
      <c r="R8">
        <v>0</v>
      </c>
      <c r="T8">
        <v>100</v>
      </c>
      <c r="U8">
        <v>0</v>
      </c>
      <c r="V8">
        <v>0</v>
      </c>
      <c r="AC8">
        <v>100</v>
      </c>
      <c r="AD8">
        <v>0</v>
      </c>
      <c r="AE8">
        <v>0</v>
      </c>
    </row>
    <row r="9" spans="1:37">
      <c r="A9" t="s">
        <v>954</v>
      </c>
      <c r="B9">
        <v>5000</v>
      </c>
      <c r="C9">
        <v>0</v>
      </c>
      <c r="E9">
        <v>40000</v>
      </c>
      <c r="F9">
        <v>0</v>
      </c>
      <c r="H9">
        <v>4000</v>
      </c>
      <c r="I9">
        <v>0</v>
      </c>
      <c r="K9">
        <v>40000</v>
      </c>
      <c r="L9">
        <v>0</v>
      </c>
      <c r="N9">
        <v>700</v>
      </c>
      <c r="Q9">
        <v>300</v>
      </c>
      <c r="T9">
        <v>5</v>
      </c>
      <c r="U9">
        <v>70</v>
      </c>
      <c r="V9">
        <v>25</v>
      </c>
      <c r="AC9">
        <v>20</v>
      </c>
      <c r="AD9">
        <v>50</v>
      </c>
      <c r="AE9">
        <v>30</v>
      </c>
    </row>
    <row r="10" spans="1:37">
      <c r="A10" t="s">
        <v>973</v>
      </c>
      <c r="B10">
        <v>13000</v>
      </c>
      <c r="C10">
        <v>3000</v>
      </c>
      <c r="E10">
        <v>5000</v>
      </c>
      <c r="F10">
        <v>4000</v>
      </c>
      <c r="H10">
        <v>13000</v>
      </c>
      <c r="I10">
        <v>3000</v>
      </c>
      <c r="K10">
        <v>5000</v>
      </c>
      <c r="L10">
        <v>3000</v>
      </c>
      <c r="N10">
        <v>0</v>
      </c>
      <c r="O10">
        <v>2800</v>
      </c>
      <c r="Q10">
        <v>4000</v>
      </c>
      <c r="R10">
        <v>50</v>
      </c>
      <c r="T10">
        <v>20</v>
      </c>
      <c r="U10">
        <v>10</v>
      </c>
      <c r="V10">
        <v>70</v>
      </c>
      <c r="W10">
        <v>80</v>
      </c>
      <c r="X10">
        <v>20</v>
      </c>
      <c r="Y10">
        <v>0</v>
      </c>
      <c r="AC10">
        <v>80</v>
      </c>
      <c r="AD10">
        <v>20</v>
      </c>
      <c r="AE10">
        <v>0</v>
      </c>
      <c r="AF10">
        <v>2</v>
      </c>
      <c r="AG10">
        <v>10</v>
      </c>
      <c r="AH10">
        <v>88</v>
      </c>
    </row>
    <row r="11" spans="1:37">
      <c r="A11" t="s">
        <v>972</v>
      </c>
      <c r="C11">
        <v>0</v>
      </c>
      <c r="E11">
        <v>35</v>
      </c>
      <c r="F11">
        <v>0</v>
      </c>
      <c r="G11">
        <v>0</v>
      </c>
      <c r="I11">
        <v>2</v>
      </c>
      <c r="K11">
        <v>10</v>
      </c>
      <c r="L11">
        <v>0</v>
      </c>
      <c r="M11">
        <v>0</v>
      </c>
      <c r="O11">
        <v>0</v>
      </c>
      <c r="Q11">
        <v>0</v>
      </c>
      <c r="R11">
        <v>0</v>
      </c>
      <c r="S11">
        <v>0</v>
      </c>
      <c r="W11">
        <v>0</v>
      </c>
      <c r="X11">
        <v>100</v>
      </c>
      <c r="Y11">
        <v>0</v>
      </c>
      <c r="AC11">
        <v>25</v>
      </c>
      <c r="AD11">
        <v>50</v>
      </c>
      <c r="AE11">
        <v>25</v>
      </c>
    </row>
    <row r="12" spans="1:37">
      <c r="A12" t="s">
        <v>972</v>
      </c>
      <c r="C12">
        <v>0</v>
      </c>
      <c r="F12">
        <v>0</v>
      </c>
      <c r="I12">
        <v>250</v>
      </c>
      <c r="L12">
        <v>250</v>
      </c>
      <c r="O12">
        <v>100</v>
      </c>
      <c r="R12">
        <v>100</v>
      </c>
      <c r="W12">
        <v>0</v>
      </c>
      <c r="X12">
        <v>10</v>
      </c>
      <c r="Y12">
        <v>90</v>
      </c>
      <c r="AF12">
        <v>0</v>
      </c>
      <c r="AG12">
        <v>50</v>
      </c>
      <c r="AH12">
        <v>50</v>
      </c>
    </row>
    <row r="13" spans="1:37">
      <c r="A13" t="s">
        <v>974</v>
      </c>
      <c r="C13">
        <v>5</v>
      </c>
      <c r="I13">
        <v>10</v>
      </c>
      <c r="O13">
        <v>10</v>
      </c>
      <c r="W13">
        <v>100</v>
      </c>
      <c r="X13">
        <v>0</v>
      </c>
      <c r="Y13">
        <v>0</v>
      </c>
    </row>
    <row r="14" spans="1:37">
      <c r="A14" t="s">
        <v>972</v>
      </c>
      <c r="C14">
        <v>15</v>
      </c>
      <c r="E14">
        <v>0</v>
      </c>
      <c r="F14">
        <v>0</v>
      </c>
      <c r="W14">
        <v>0</v>
      </c>
      <c r="X14">
        <v>100</v>
      </c>
      <c r="Y14">
        <v>0</v>
      </c>
    </row>
    <row r="15" spans="1:37">
      <c r="A15" t="s">
        <v>954</v>
      </c>
      <c r="C15">
        <v>50</v>
      </c>
      <c r="E15">
        <v>0</v>
      </c>
      <c r="F15">
        <v>169</v>
      </c>
    </row>
    <row r="16" spans="1:37">
      <c r="A16" t="s">
        <v>974</v>
      </c>
      <c r="C16">
        <v>500</v>
      </c>
      <c r="E16">
        <v>25</v>
      </c>
      <c r="F16">
        <v>250</v>
      </c>
      <c r="I16">
        <v>100</v>
      </c>
      <c r="K16">
        <v>100</v>
      </c>
      <c r="L16">
        <v>1000</v>
      </c>
      <c r="O16">
        <v>400</v>
      </c>
      <c r="Q16">
        <v>40</v>
      </c>
      <c r="R16">
        <v>0</v>
      </c>
      <c r="W16">
        <v>0</v>
      </c>
      <c r="X16">
        <v>100</v>
      </c>
      <c r="Y16">
        <v>0</v>
      </c>
      <c r="AC16">
        <v>10</v>
      </c>
      <c r="AD16">
        <v>50</v>
      </c>
      <c r="AE16">
        <v>40</v>
      </c>
      <c r="AF16">
        <v>40</v>
      </c>
      <c r="AG16">
        <v>30</v>
      </c>
      <c r="AH16">
        <v>30</v>
      </c>
    </row>
    <row r="17" spans="1:37">
      <c r="A17" t="s">
        <v>972</v>
      </c>
      <c r="E17">
        <v>50</v>
      </c>
      <c r="F17">
        <v>100</v>
      </c>
    </row>
    <row r="18" spans="1:37">
      <c r="A18" t="s">
        <v>972</v>
      </c>
      <c r="E18">
        <v>1200</v>
      </c>
      <c r="F18">
        <v>200</v>
      </c>
      <c r="K18">
        <v>0</v>
      </c>
      <c r="L18">
        <v>200</v>
      </c>
      <c r="Q18">
        <v>0</v>
      </c>
      <c r="R18">
        <v>0</v>
      </c>
      <c r="AC18">
        <v>100</v>
      </c>
      <c r="AD18">
        <v>0</v>
      </c>
      <c r="AE18">
        <v>0</v>
      </c>
      <c r="AF18">
        <v>0</v>
      </c>
      <c r="AG18">
        <v>0</v>
      </c>
      <c r="AH18">
        <v>100</v>
      </c>
    </row>
    <row r="19" spans="1:37">
      <c r="A19" t="s">
        <v>974</v>
      </c>
      <c r="K19">
        <v>1000</v>
      </c>
      <c r="L19">
        <v>2000</v>
      </c>
      <c r="Q19">
        <v>0</v>
      </c>
      <c r="R19">
        <v>2000</v>
      </c>
      <c r="AC19">
        <v>10</v>
      </c>
      <c r="AD19">
        <v>80</v>
      </c>
      <c r="AE19">
        <v>10</v>
      </c>
      <c r="AF19">
        <v>5</v>
      </c>
      <c r="AG19">
        <v>75</v>
      </c>
      <c r="AH19">
        <v>20</v>
      </c>
    </row>
    <row r="20" spans="1:37">
      <c r="A20" s="4" t="s">
        <v>1357</v>
      </c>
      <c r="B20" s="3">
        <f>SUM(B7:B19)</f>
        <v>18024</v>
      </c>
      <c r="C20" s="3">
        <f t="shared" ref="C20:AK20" si="0">SUM(C7:C19)</f>
        <v>3600</v>
      </c>
      <c r="D20" s="3">
        <f t="shared" si="0"/>
        <v>0</v>
      </c>
      <c r="E20" s="3">
        <f t="shared" si="0"/>
        <v>46362</v>
      </c>
      <c r="F20" s="3">
        <f t="shared" si="0"/>
        <v>4729</v>
      </c>
      <c r="G20" s="3">
        <f t="shared" si="0"/>
        <v>0</v>
      </c>
      <c r="H20" s="3">
        <f t="shared" si="0"/>
        <v>17006</v>
      </c>
      <c r="I20" s="3">
        <f t="shared" si="0"/>
        <v>3362</v>
      </c>
      <c r="J20" s="3">
        <f t="shared" si="0"/>
        <v>0</v>
      </c>
      <c r="K20" s="3">
        <f t="shared" si="0"/>
        <v>46135</v>
      </c>
      <c r="L20" s="3">
        <f t="shared" si="0"/>
        <v>6450</v>
      </c>
      <c r="M20" s="3">
        <f t="shared" si="0"/>
        <v>0</v>
      </c>
      <c r="N20" s="3">
        <f t="shared" si="0"/>
        <v>700</v>
      </c>
      <c r="O20" s="3">
        <f t="shared" si="0"/>
        <v>3310</v>
      </c>
      <c r="P20" s="3">
        <f t="shared" si="0"/>
        <v>0</v>
      </c>
      <c r="Q20" s="3">
        <f t="shared" si="0"/>
        <v>4341</v>
      </c>
      <c r="R20" s="3">
        <f t="shared" si="0"/>
        <v>2150</v>
      </c>
      <c r="S20" s="3">
        <f t="shared" si="0"/>
        <v>0</v>
      </c>
      <c r="T20" s="3">
        <f t="shared" si="0"/>
        <v>125</v>
      </c>
      <c r="U20" s="3">
        <f t="shared" si="0"/>
        <v>180</v>
      </c>
      <c r="V20" s="3">
        <f t="shared" si="0"/>
        <v>95</v>
      </c>
      <c r="W20" s="3">
        <f t="shared" si="0"/>
        <v>180</v>
      </c>
      <c r="X20" s="3">
        <f t="shared" si="0"/>
        <v>430</v>
      </c>
      <c r="Y20" s="3">
        <f t="shared" si="0"/>
        <v>90</v>
      </c>
      <c r="Z20" s="3">
        <f t="shared" si="0"/>
        <v>0</v>
      </c>
      <c r="AA20" s="3">
        <f t="shared" si="0"/>
        <v>0</v>
      </c>
      <c r="AB20" s="3">
        <f t="shared" si="0"/>
        <v>0</v>
      </c>
      <c r="AC20" s="3">
        <f t="shared" si="0"/>
        <v>345</v>
      </c>
      <c r="AD20" s="3">
        <f t="shared" si="0"/>
        <v>350</v>
      </c>
      <c r="AE20" s="3">
        <f t="shared" si="0"/>
        <v>105</v>
      </c>
      <c r="AF20" s="3">
        <f t="shared" si="0"/>
        <v>47</v>
      </c>
      <c r="AG20" s="3">
        <f t="shared" si="0"/>
        <v>265</v>
      </c>
      <c r="AH20" s="3">
        <f t="shared" si="0"/>
        <v>288</v>
      </c>
      <c r="AI20" s="3">
        <f t="shared" si="0"/>
        <v>0</v>
      </c>
      <c r="AJ20" s="3">
        <f t="shared" si="0"/>
        <v>0</v>
      </c>
      <c r="AK20" s="3">
        <f t="shared" si="0"/>
        <v>0</v>
      </c>
    </row>
    <row r="21" spans="1:37">
      <c r="A21" s="4" t="s">
        <v>1117</v>
      </c>
      <c r="B21" s="15">
        <f>B20/4</f>
        <v>4506</v>
      </c>
      <c r="C21" s="15">
        <f>C20/9</f>
        <v>400</v>
      </c>
      <c r="D21" s="15">
        <f t="shared" ref="D21:AK21" si="1">D20/4</f>
        <v>0</v>
      </c>
      <c r="E21" s="15">
        <f>E20/10</f>
        <v>4636.2</v>
      </c>
      <c r="F21" s="15">
        <f>F20/11</f>
        <v>429.90909090909093</v>
      </c>
      <c r="G21" s="15">
        <f>G20/1</f>
        <v>0</v>
      </c>
      <c r="H21" s="15">
        <f>H20/3</f>
        <v>5668.666666666667</v>
      </c>
      <c r="I21" s="15">
        <f>I20/6</f>
        <v>560.33333333333337</v>
      </c>
      <c r="J21" s="15">
        <f t="shared" si="1"/>
        <v>0</v>
      </c>
      <c r="K21" s="15">
        <f>K20/7</f>
        <v>6590.7142857142853</v>
      </c>
      <c r="L21" s="15">
        <f>L20/8</f>
        <v>806.25</v>
      </c>
      <c r="M21" s="15">
        <f>M20/1</f>
        <v>0</v>
      </c>
      <c r="N21" s="15">
        <f>N20/3</f>
        <v>233.33333333333334</v>
      </c>
      <c r="O21" s="15">
        <f>O20/5</f>
        <v>662</v>
      </c>
      <c r="P21" s="15">
        <f t="shared" si="1"/>
        <v>0</v>
      </c>
      <c r="Q21" s="15">
        <f>Q20/7</f>
        <v>620.14285714285711</v>
      </c>
      <c r="R21" s="15">
        <f>R20/7</f>
        <v>307.14285714285717</v>
      </c>
      <c r="S21" s="15">
        <f t="shared" si="1"/>
        <v>0</v>
      </c>
      <c r="T21" s="15">
        <f>T20/4</f>
        <v>31.25</v>
      </c>
      <c r="U21" s="15">
        <f>U20/4</f>
        <v>45</v>
      </c>
      <c r="V21" s="15">
        <f>V20/4</f>
        <v>23.75</v>
      </c>
      <c r="W21" s="15">
        <f>W20/7</f>
        <v>25.714285714285715</v>
      </c>
      <c r="X21" s="15">
        <f>X20/7</f>
        <v>61.428571428571431</v>
      </c>
      <c r="Y21" s="15">
        <f>Y20/7</f>
        <v>12.857142857142858</v>
      </c>
      <c r="Z21" s="15">
        <f t="shared" si="1"/>
        <v>0</v>
      </c>
      <c r="AA21" s="15">
        <f t="shared" si="1"/>
        <v>0</v>
      </c>
      <c r="AB21" s="15">
        <f t="shared" si="1"/>
        <v>0</v>
      </c>
      <c r="AC21" s="15">
        <f>AC20/8</f>
        <v>43.125</v>
      </c>
      <c r="AD21" s="15">
        <f>AD20/8</f>
        <v>43.75</v>
      </c>
      <c r="AE21" s="15">
        <f>AE20/8</f>
        <v>13.125</v>
      </c>
      <c r="AF21" s="15">
        <f>AF20/6</f>
        <v>7.833333333333333</v>
      </c>
      <c r="AG21" s="15">
        <f>AG20/6</f>
        <v>44.166666666666664</v>
      </c>
      <c r="AH21" s="15">
        <f>AH20/6</f>
        <v>48</v>
      </c>
      <c r="AI21" s="15">
        <f t="shared" si="1"/>
        <v>0</v>
      </c>
      <c r="AJ21" s="15">
        <f t="shared" si="1"/>
        <v>0</v>
      </c>
      <c r="AK21" s="15">
        <f t="shared" si="1"/>
        <v>0</v>
      </c>
    </row>
    <row r="22" spans="1:37">
      <c r="B22" t="s">
        <v>344</v>
      </c>
      <c r="C22" t="s">
        <v>345</v>
      </c>
      <c r="D22" t="s">
        <v>346</v>
      </c>
      <c r="E22" t="s">
        <v>347</v>
      </c>
      <c r="F22" t="s">
        <v>348</v>
      </c>
      <c r="G22" t="s">
        <v>349</v>
      </c>
      <c r="H22" t="s">
        <v>350</v>
      </c>
      <c r="I22" t="s">
        <v>351</v>
      </c>
      <c r="J22" t="s">
        <v>352</v>
      </c>
      <c r="K22" t="s">
        <v>353</v>
      </c>
      <c r="L22" t="s">
        <v>354</v>
      </c>
      <c r="M22" t="s">
        <v>355</v>
      </c>
      <c r="N22" t="s">
        <v>356</v>
      </c>
      <c r="O22" t="s">
        <v>357</v>
      </c>
      <c r="P22" t="s">
        <v>358</v>
      </c>
      <c r="Q22" t="s">
        <v>359</v>
      </c>
      <c r="R22" t="s">
        <v>360</v>
      </c>
      <c r="S22" t="s">
        <v>361</v>
      </c>
      <c r="T22" t="s">
        <v>378</v>
      </c>
      <c r="U22" t="s">
        <v>379</v>
      </c>
      <c r="V22" t="s">
        <v>380</v>
      </c>
      <c r="W22" t="s">
        <v>381</v>
      </c>
      <c r="X22" t="s">
        <v>382</v>
      </c>
      <c r="Y22" t="s">
        <v>383</v>
      </c>
      <c r="Z22" t="s">
        <v>384</v>
      </c>
      <c r="AA22" t="s">
        <v>385</v>
      </c>
      <c r="AB22" t="s">
        <v>386</v>
      </c>
      <c r="AC22" t="s">
        <v>387</v>
      </c>
      <c r="AD22" t="s">
        <v>388</v>
      </c>
      <c r="AE22" t="s">
        <v>389</v>
      </c>
      <c r="AF22" t="s">
        <v>390</v>
      </c>
      <c r="AG22" t="s">
        <v>391</v>
      </c>
      <c r="AH22" t="s">
        <v>392</v>
      </c>
      <c r="AI22" t="s">
        <v>393</v>
      </c>
      <c r="AJ22" t="s">
        <v>394</v>
      </c>
      <c r="AK22" t="s">
        <v>395</v>
      </c>
    </row>
    <row r="23" spans="1:37">
      <c r="B23" t="s">
        <v>821</v>
      </c>
      <c r="C23" t="s">
        <v>822</v>
      </c>
      <c r="D23" t="s">
        <v>823</v>
      </c>
      <c r="E23" t="s">
        <v>824</v>
      </c>
      <c r="F23" t="s">
        <v>825</v>
      </c>
      <c r="G23" t="s">
        <v>826</v>
      </c>
      <c r="H23" t="s">
        <v>827</v>
      </c>
      <c r="I23" t="s">
        <v>828</v>
      </c>
      <c r="J23" t="s">
        <v>829</v>
      </c>
      <c r="K23" t="s">
        <v>830</v>
      </c>
      <c r="L23" t="s">
        <v>831</v>
      </c>
      <c r="M23" t="s">
        <v>832</v>
      </c>
      <c r="N23" t="s">
        <v>827</v>
      </c>
      <c r="O23" t="s">
        <v>828</v>
      </c>
      <c r="P23" t="s">
        <v>829</v>
      </c>
      <c r="Q23" t="s">
        <v>830</v>
      </c>
      <c r="R23" t="s">
        <v>831</v>
      </c>
      <c r="S23" t="s">
        <v>832</v>
      </c>
      <c r="T23" t="s">
        <v>849</v>
      </c>
      <c r="U23" t="s">
        <v>849</v>
      </c>
      <c r="V23" t="s">
        <v>849</v>
      </c>
      <c r="W23" t="s">
        <v>850</v>
      </c>
      <c r="X23" t="s">
        <v>850</v>
      </c>
      <c r="Y23" t="s">
        <v>850</v>
      </c>
      <c r="Z23" t="s">
        <v>851</v>
      </c>
      <c r="AA23" t="s">
        <v>851</v>
      </c>
      <c r="AB23" t="s">
        <v>851</v>
      </c>
      <c r="AC23" t="s">
        <v>852</v>
      </c>
      <c r="AD23" t="s">
        <v>852</v>
      </c>
      <c r="AE23" t="s">
        <v>852</v>
      </c>
      <c r="AF23" t="s">
        <v>853</v>
      </c>
      <c r="AG23" t="s">
        <v>853</v>
      </c>
      <c r="AH23" t="s">
        <v>853</v>
      </c>
      <c r="AI23" t="s">
        <v>854</v>
      </c>
      <c r="AJ23" t="s">
        <v>854</v>
      </c>
      <c r="AK23" t="s">
        <v>854</v>
      </c>
    </row>
    <row r="25" spans="1:37">
      <c r="A25" s="3" t="s">
        <v>1364</v>
      </c>
    </row>
    <row r="26" spans="1:37">
      <c r="B26" t="s">
        <v>1334</v>
      </c>
      <c r="C26" t="s">
        <v>1335</v>
      </c>
      <c r="D26" t="s">
        <v>1390</v>
      </c>
      <c r="E26" t="s">
        <v>1337</v>
      </c>
      <c r="F26" t="s">
        <v>1338</v>
      </c>
      <c r="G26" t="s">
        <v>1391</v>
      </c>
    </row>
    <row r="27" spans="1:37">
      <c r="A27" t="s">
        <v>1368</v>
      </c>
      <c r="B27" s="15">
        <f t="shared" ref="B27:G27" si="2">B21</f>
        <v>4506</v>
      </c>
      <c r="C27" s="15">
        <f t="shared" si="2"/>
        <v>400</v>
      </c>
      <c r="D27" s="15">
        <f t="shared" si="2"/>
        <v>0</v>
      </c>
      <c r="E27" s="15">
        <f t="shared" si="2"/>
        <v>4636.2</v>
      </c>
      <c r="F27" s="15">
        <f t="shared" si="2"/>
        <v>429.90909090909093</v>
      </c>
      <c r="G27" s="15">
        <f t="shared" si="2"/>
        <v>0</v>
      </c>
      <c r="H27" s="15"/>
      <c r="I27" s="15"/>
    </row>
    <row r="28" spans="1:37">
      <c r="A28" t="s">
        <v>1392</v>
      </c>
      <c r="B28" s="15">
        <f t="shared" ref="B28:G28" si="3">H21</f>
        <v>5668.666666666667</v>
      </c>
      <c r="C28" s="15">
        <f t="shared" si="3"/>
        <v>560.33333333333337</v>
      </c>
      <c r="D28" s="15">
        <f t="shared" si="3"/>
        <v>0</v>
      </c>
      <c r="E28" s="15">
        <f t="shared" si="3"/>
        <v>6590.7142857142853</v>
      </c>
      <c r="F28" s="15">
        <f t="shared" si="3"/>
        <v>806.25</v>
      </c>
      <c r="G28" s="15">
        <f t="shared" si="3"/>
        <v>0</v>
      </c>
      <c r="H28" s="15"/>
      <c r="I28" s="15"/>
    </row>
    <row r="29" spans="1:37">
      <c r="A29" t="s">
        <v>1393</v>
      </c>
      <c r="B29" s="15">
        <f t="shared" ref="B29:G29" si="4">N21</f>
        <v>233.33333333333334</v>
      </c>
      <c r="C29" s="15">
        <f t="shared" si="4"/>
        <v>662</v>
      </c>
      <c r="D29" s="15">
        <f t="shared" si="4"/>
        <v>0</v>
      </c>
      <c r="E29" s="15">
        <f t="shared" si="4"/>
        <v>620.14285714285711</v>
      </c>
      <c r="F29" s="15">
        <f t="shared" si="4"/>
        <v>307.14285714285717</v>
      </c>
      <c r="G29" s="15">
        <f t="shared" si="4"/>
        <v>0</v>
      </c>
      <c r="H29" s="15"/>
      <c r="I29" s="15"/>
    </row>
    <row r="31" spans="1:37">
      <c r="B31" t="s">
        <v>1334</v>
      </c>
      <c r="C31" t="s">
        <v>1335</v>
      </c>
      <c r="D31" t="s">
        <v>1390</v>
      </c>
      <c r="E31" t="s">
        <v>1337</v>
      </c>
      <c r="F31" t="s">
        <v>1338</v>
      </c>
      <c r="G31" t="s">
        <v>1391</v>
      </c>
    </row>
    <row r="32" spans="1:37">
      <c r="A32" t="s">
        <v>1365</v>
      </c>
      <c r="B32" s="15">
        <f>T21</f>
        <v>31.25</v>
      </c>
      <c r="C32" s="15">
        <f>W21</f>
        <v>25.714285714285715</v>
      </c>
      <c r="D32" s="15">
        <f>Z21</f>
        <v>0</v>
      </c>
      <c r="E32" s="15">
        <f>AC21</f>
        <v>43.125</v>
      </c>
      <c r="F32" s="15">
        <f>AF21</f>
        <v>7.833333333333333</v>
      </c>
      <c r="G32" s="15">
        <f>AI21</f>
        <v>0</v>
      </c>
      <c r="H32" s="15"/>
      <c r="I32" s="15"/>
    </row>
    <row r="33" spans="1:10">
      <c r="A33" t="s">
        <v>1366</v>
      </c>
      <c r="B33" s="15">
        <f>U21</f>
        <v>45</v>
      </c>
      <c r="C33" s="15">
        <f>X21</f>
        <v>61.428571428571431</v>
      </c>
      <c r="D33" s="15">
        <f>AA21</f>
        <v>0</v>
      </c>
      <c r="E33" s="15">
        <f>AD21</f>
        <v>43.75</v>
      </c>
      <c r="F33" s="15">
        <f>AG21</f>
        <v>44.166666666666664</v>
      </c>
      <c r="G33" s="15">
        <f>AJ21</f>
        <v>0</v>
      </c>
      <c r="H33" s="15"/>
      <c r="I33" s="15"/>
    </row>
    <row r="34" spans="1:10">
      <c r="A34" t="s">
        <v>1367</v>
      </c>
      <c r="B34" s="15">
        <f>V21</f>
        <v>23.75</v>
      </c>
      <c r="C34" s="15">
        <f>Y21</f>
        <v>12.857142857142858</v>
      </c>
      <c r="D34" s="15">
        <f>AB21</f>
        <v>0</v>
      </c>
      <c r="E34" s="15">
        <f>AE21</f>
        <v>13.125</v>
      </c>
      <c r="F34" s="15">
        <f>AH21</f>
        <v>48</v>
      </c>
      <c r="G34" s="15">
        <f>AK21</f>
        <v>0</v>
      </c>
      <c r="H34" s="15"/>
      <c r="I34" s="15"/>
    </row>
    <row r="35" spans="1:10">
      <c r="B35" s="39">
        <f>SUM(B32:B34)</f>
        <v>100</v>
      </c>
      <c r="C35" s="39">
        <f>SUM(C32:C34)</f>
        <v>100</v>
      </c>
      <c r="D35" s="39">
        <f t="shared" ref="D35:G35" si="5">SUM(D32:D34)</f>
        <v>0</v>
      </c>
      <c r="E35" s="39">
        <f t="shared" si="5"/>
        <v>100</v>
      </c>
      <c r="F35" s="39">
        <f t="shared" si="5"/>
        <v>100</v>
      </c>
      <c r="G35" s="39">
        <f t="shared" si="5"/>
        <v>0</v>
      </c>
      <c r="H35" s="39"/>
      <c r="I35" s="39"/>
    </row>
    <row r="37" spans="1:10">
      <c r="A37" s="1" t="s">
        <v>1371</v>
      </c>
    </row>
    <row r="38" spans="1:10">
      <c r="B38" t="s">
        <v>978</v>
      </c>
      <c r="C38" t="s">
        <v>1338</v>
      </c>
      <c r="D38" t="s">
        <v>1335</v>
      </c>
      <c r="E38" t="s">
        <v>1334</v>
      </c>
      <c r="F38" t="s">
        <v>1337</v>
      </c>
    </row>
    <row r="39" spans="1:10">
      <c r="A39" t="s">
        <v>1365</v>
      </c>
      <c r="B39" s="15">
        <f>SUM(C39:F39)/4</f>
        <v>26.980654761904763</v>
      </c>
      <c r="C39" s="15">
        <v>7.833333333333333</v>
      </c>
      <c r="D39" s="15">
        <v>25.714285714285715</v>
      </c>
      <c r="E39" s="15">
        <v>31.25</v>
      </c>
      <c r="F39" s="15">
        <v>43.125</v>
      </c>
      <c r="H39" s="15"/>
      <c r="I39" s="15"/>
      <c r="J39" s="15"/>
    </row>
    <row r="40" spans="1:10">
      <c r="A40" t="s">
        <v>1366</v>
      </c>
      <c r="B40" s="15">
        <f>SUM(C40:F40)/4</f>
        <v>48.586309523809526</v>
      </c>
      <c r="C40" s="15">
        <v>44.166666666666664</v>
      </c>
      <c r="D40" s="15">
        <v>61.428571428571431</v>
      </c>
      <c r="E40" s="15">
        <v>45</v>
      </c>
      <c r="F40" s="15">
        <v>43.75</v>
      </c>
      <c r="H40" s="15"/>
      <c r="I40" s="15"/>
      <c r="J40" s="15"/>
    </row>
    <row r="41" spans="1:10">
      <c r="A41" t="s">
        <v>1367</v>
      </c>
      <c r="B41" s="15">
        <f>SUM(C41:F41)/4</f>
        <v>24.433035714285715</v>
      </c>
      <c r="C41" s="15">
        <v>48</v>
      </c>
      <c r="D41" s="15">
        <v>12.857142857142858</v>
      </c>
      <c r="E41" s="15">
        <v>23.75</v>
      </c>
      <c r="F41" s="15">
        <v>13.125</v>
      </c>
      <c r="H41" s="15"/>
      <c r="I41" s="15"/>
      <c r="J41" s="15"/>
    </row>
  </sheetData>
  <sortState ref="A7:AR149">
    <sortCondition ref="B7:B149"/>
    <sortCondition ref="C7:C149"/>
    <sortCondition ref="D7:D149"/>
    <sortCondition ref="E7:E149"/>
    <sortCondition ref="F7:F149"/>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P22"/>
  <sheetViews>
    <sheetView workbookViewId="0"/>
  </sheetViews>
  <sheetFormatPr defaultRowHeight="14.4"/>
  <cols>
    <col min="1" max="1" width="18.88671875" customWidth="1"/>
  </cols>
  <sheetData>
    <row r="1" spans="1:16">
      <c r="A1" s="3" t="s">
        <v>1414</v>
      </c>
    </row>
    <row r="2" spans="1:16">
      <c r="A2" t="s">
        <v>1356</v>
      </c>
    </row>
    <row r="3" spans="1:16">
      <c r="A3" t="s">
        <v>1340</v>
      </c>
    </row>
    <row r="4" spans="1:16">
      <c r="A4" t="s">
        <v>1379</v>
      </c>
    </row>
    <row r="5" spans="1:16">
      <c r="B5" t="s">
        <v>362</v>
      </c>
      <c r="C5" t="s">
        <v>363</v>
      </c>
      <c r="D5" t="s">
        <v>364</v>
      </c>
      <c r="E5" t="s">
        <v>365</v>
      </c>
      <c r="F5" t="s">
        <v>366</v>
      </c>
      <c r="G5" t="s">
        <v>367</v>
      </c>
      <c r="H5" t="s">
        <v>368</v>
      </c>
      <c r="I5" t="s">
        <v>369</v>
      </c>
      <c r="J5" t="s">
        <v>370</v>
      </c>
      <c r="K5" t="s">
        <v>371</v>
      </c>
      <c r="L5" t="s">
        <v>372</v>
      </c>
      <c r="M5" t="s">
        <v>373</v>
      </c>
      <c r="N5" t="s">
        <v>374</v>
      </c>
      <c r="O5" t="s">
        <v>375</v>
      </c>
      <c r="P5" t="s">
        <v>376</v>
      </c>
    </row>
    <row r="6" spans="1:16">
      <c r="B6" t="s">
        <v>833</v>
      </c>
      <c r="C6" t="s">
        <v>834</v>
      </c>
      <c r="D6" t="s">
        <v>835</v>
      </c>
      <c r="E6" t="s">
        <v>836</v>
      </c>
      <c r="F6" t="s">
        <v>837</v>
      </c>
      <c r="G6" t="s">
        <v>838</v>
      </c>
      <c r="H6" t="s">
        <v>839</v>
      </c>
      <c r="I6" t="s">
        <v>840</v>
      </c>
      <c r="J6" t="s">
        <v>841</v>
      </c>
      <c r="K6" t="s">
        <v>842</v>
      </c>
      <c r="L6" t="s">
        <v>843</v>
      </c>
      <c r="M6" t="s">
        <v>844</v>
      </c>
      <c r="N6" t="s">
        <v>845</v>
      </c>
      <c r="O6" t="s">
        <v>846</v>
      </c>
      <c r="P6" t="s">
        <v>847</v>
      </c>
    </row>
    <row r="7" spans="1:16">
      <c r="A7" t="s">
        <v>972</v>
      </c>
      <c r="B7">
        <v>5</v>
      </c>
      <c r="D7">
        <v>20</v>
      </c>
      <c r="I7">
        <v>2</v>
      </c>
    </row>
    <row r="8" spans="1:16">
      <c r="A8" t="s">
        <v>974</v>
      </c>
      <c r="B8">
        <v>30</v>
      </c>
      <c r="E8">
        <v>20</v>
      </c>
      <c r="I8">
        <v>10</v>
      </c>
      <c r="J8">
        <v>30</v>
      </c>
      <c r="M8">
        <v>20</v>
      </c>
      <c r="P8">
        <v>10</v>
      </c>
    </row>
    <row r="9" spans="1:16">
      <c r="A9" t="s">
        <v>954</v>
      </c>
      <c r="B9">
        <v>47</v>
      </c>
      <c r="E9">
        <v>58</v>
      </c>
      <c r="G9">
        <v>34</v>
      </c>
      <c r="I9">
        <v>48</v>
      </c>
    </row>
    <row r="10" spans="1:16">
      <c r="A10" t="s">
        <v>972</v>
      </c>
      <c r="B10">
        <v>150</v>
      </c>
      <c r="E10">
        <v>0</v>
      </c>
      <c r="I10">
        <v>150</v>
      </c>
      <c r="J10">
        <v>0</v>
      </c>
      <c r="M10">
        <v>0</v>
      </c>
      <c r="P10">
        <v>0</v>
      </c>
    </row>
    <row r="11" spans="1:16">
      <c r="A11" t="s">
        <v>972</v>
      </c>
      <c r="B11">
        <v>400</v>
      </c>
      <c r="I11">
        <v>1</v>
      </c>
      <c r="J11">
        <v>0</v>
      </c>
      <c r="P11">
        <v>0</v>
      </c>
    </row>
    <row r="12" spans="1:16">
      <c r="A12" t="s">
        <v>972</v>
      </c>
      <c r="B12">
        <v>100000</v>
      </c>
      <c r="I12">
        <v>60000</v>
      </c>
    </row>
    <row r="13" spans="1:16">
      <c r="A13" t="s">
        <v>974</v>
      </c>
      <c r="B13">
        <v>250000</v>
      </c>
      <c r="J13">
        <v>0</v>
      </c>
    </row>
    <row r="14" spans="1:16">
      <c r="A14" t="s">
        <v>972</v>
      </c>
      <c r="B14">
        <v>500000</v>
      </c>
      <c r="J14">
        <v>0</v>
      </c>
    </row>
    <row r="15" spans="1:16">
      <c r="A15" t="s">
        <v>973</v>
      </c>
      <c r="B15">
        <v>600000</v>
      </c>
      <c r="E15">
        <v>20</v>
      </c>
      <c r="I15">
        <v>5</v>
      </c>
      <c r="J15">
        <v>200000</v>
      </c>
      <c r="M15">
        <v>20</v>
      </c>
      <c r="P15">
        <v>5</v>
      </c>
    </row>
    <row r="16" spans="1:16">
      <c r="A16" t="s">
        <v>972</v>
      </c>
      <c r="I16">
        <v>0</v>
      </c>
      <c r="P16">
        <v>10</v>
      </c>
    </row>
    <row r="17" spans="1:16">
      <c r="A17" t="s">
        <v>972</v>
      </c>
      <c r="E17">
        <v>0</v>
      </c>
      <c r="G17">
        <v>1</v>
      </c>
      <c r="H17">
        <v>5</v>
      </c>
      <c r="I17">
        <v>1</v>
      </c>
      <c r="M17">
        <v>0</v>
      </c>
      <c r="O17">
        <v>1</v>
      </c>
      <c r="P17">
        <v>1</v>
      </c>
    </row>
    <row r="18" spans="1:16">
      <c r="A18" t="s">
        <v>954</v>
      </c>
      <c r="C18">
        <v>3</v>
      </c>
      <c r="D18">
        <v>5</v>
      </c>
      <c r="E18">
        <v>100</v>
      </c>
      <c r="G18">
        <v>30</v>
      </c>
      <c r="H18">
        <v>0</v>
      </c>
      <c r="I18">
        <v>4</v>
      </c>
      <c r="K18">
        <v>3</v>
      </c>
      <c r="L18">
        <v>5</v>
      </c>
      <c r="M18">
        <v>100</v>
      </c>
      <c r="O18">
        <v>30</v>
      </c>
      <c r="P18">
        <v>4</v>
      </c>
    </row>
    <row r="19" spans="1:16">
      <c r="A19" t="s">
        <v>974</v>
      </c>
      <c r="E19">
        <v>100</v>
      </c>
      <c r="M19">
        <v>0</v>
      </c>
    </row>
    <row r="20" spans="1:16">
      <c r="A20" t="s">
        <v>972</v>
      </c>
      <c r="J20">
        <v>0</v>
      </c>
      <c r="O20">
        <v>0</v>
      </c>
      <c r="P20">
        <v>0</v>
      </c>
    </row>
    <row r="21" spans="1:16">
      <c r="A21" s="4" t="s">
        <v>1357</v>
      </c>
      <c r="B21" s="3">
        <f>SUM(B7:B20)</f>
        <v>1450632</v>
      </c>
      <c r="C21" s="3">
        <f t="shared" ref="C21:P21" si="0">SUM(C7:C20)</f>
        <v>3</v>
      </c>
      <c r="D21" s="3">
        <f t="shared" si="0"/>
        <v>25</v>
      </c>
      <c r="E21" s="3">
        <f t="shared" si="0"/>
        <v>298</v>
      </c>
      <c r="F21" s="3">
        <f t="shared" si="0"/>
        <v>0</v>
      </c>
      <c r="G21" s="3">
        <f t="shared" si="0"/>
        <v>65</v>
      </c>
      <c r="H21" s="3">
        <f t="shared" si="0"/>
        <v>5</v>
      </c>
      <c r="I21" s="3">
        <f t="shared" si="0"/>
        <v>60221</v>
      </c>
      <c r="J21" s="3">
        <f t="shared" si="0"/>
        <v>200030</v>
      </c>
      <c r="K21" s="3">
        <f t="shared" si="0"/>
        <v>3</v>
      </c>
      <c r="L21" s="3">
        <f t="shared" si="0"/>
        <v>5</v>
      </c>
      <c r="M21" s="3">
        <f t="shared" si="0"/>
        <v>140</v>
      </c>
      <c r="N21" s="3">
        <f t="shared" si="0"/>
        <v>0</v>
      </c>
      <c r="O21" s="3">
        <f t="shared" si="0"/>
        <v>31</v>
      </c>
      <c r="P21" s="3">
        <f t="shared" si="0"/>
        <v>30</v>
      </c>
    </row>
    <row r="22" spans="1:16">
      <c r="A22" s="4" t="s">
        <v>1117</v>
      </c>
      <c r="B22" s="15">
        <f>B21/9</f>
        <v>161181.33333333334</v>
      </c>
      <c r="C22" s="15">
        <f>C21/1</f>
        <v>3</v>
      </c>
      <c r="D22" s="15">
        <f>D21/2</f>
        <v>12.5</v>
      </c>
      <c r="E22" s="15">
        <f>E21/7</f>
        <v>42.571428571428569</v>
      </c>
      <c r="F22" s="15">
        <f t="shared" ref="F22:N22" si="1">F21/9</f>
        <v>0</v>
      </c>
      <c r="G22" s="15">
        <f>G21/3</f>
        <v>21.666666666666668</v>
      </c>
      <c r="H22" s="15">
        <f>H21/2</f>
        <v>2.5</v>
      </c>
      <c r="I22" s="15">
        <f>I21/10</f>
        <v>6022.1</v>
      </c>
      <c r="J22" s="15">
        <f>J21/7</f>
        <v>28575.714285714286</v>
      </c>
      <c r="K22" s="15">
        <f>K21/1</f>
        <v>3</v>
      </c>
      <c r="L22" s="15">
        <f>L21/1</f>
        <v>5</v>
      </c>
      <c r="M22" s="15">
        <f>M21/6</f>
        <v>23.333333333333332</v>
      </c>
      <c r="N22" s="15">
        <f t="shared" si="1"/>
        <v>0</v>
      </c>
      <c r="O22" s="15">
        <f>O21/3</f>
        <v>10.333333333333334</v>
      </c>
      <c r="P22" s="15">
        <f>P21/8</f>
        <v>3.75</v>
      </c>
    </row>
  </sheetData>
  <sortState ref="A7:P149">
    <sortCondition ref="B7:B149"/>
    <sortCondition ref="I7:I149"/>
    <sortCondition ref="C7:C149"/>
    <sortCondition ref="D7:D149"/>
    <sortCondition ref="E7:E149"/>
    <sortCondition ref="F7:F149"/>
  </sortState>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O224"/>
  <sheetViews>
    <sheetView workbookViewId="0"/>
  </sheetViews>
  <sheetFormatPr defaultRowHeight="14.4"/>
  <cols>
    <col min="1" max="1" width="14.44140625" customWidth="1"/>
    <col min="2" max="2" width="15.33203125" customWidth="1"/>
    <col min="3" max="3" width="12.6640625" customWidth="1"/>
    <col min="4" max="4" width="12.109375" customWidth="1"/>
    <col min="5" max="5" width="11.44140625" customWidth="1"/>
    <col min="6" max="6" width="10.6640625" customWidth="1"/>
    <col min="7" max="7" width="11.44140625" customWidth="1"/>
    <col min="8" max="8" width="10.33203125" customWidth="1"/>
    <col min="11" max="11" width="29.33203125" customWidth="1"/>
  </cols>
  <sheetData>
    <row r="1" spans="1:12">
      <c r="A1" s="3" t="s">
        <v>1415</v>
      </c>
    </row>
    <row r="3" spans="1:12">
      <c r="B3" t="s">
        <v>1084</v>
      </c>
      <c r="C3" t="s">
        <v>1085</v>
      </c>
      <c r="D3" t="s">
        <v>1086</v>
      </c>
      <c r="E3" t="s">
        <v>1087</v>
      </c>
      <c r="F3" t="s">
        <v>1088</v>
      </c>
      <c r="G3" t="s">
        <v>1089</v>
      </c>
      <c r="H3" t="s">
        <v>1090</v>
      </c>
      <c r="I3" t="s">
        <v>954</v>
      </c>
      <c r="K3" t="s">
        <v>1091</v>
      </c>
    </row>
    <row r="4" spans="1:12">
      <c r="A4" t="s">
        <v>972</v>
      </c>
      <c r="B4" s="15">
        <v>1</v>
      </c>
      <c r="C4" s="15">
        <v>1</v>
      </c>
      <c r="D4" s="15">
        <v>10</v>
      </c>
      <c r="E4" s="15">
        <v>1</v>
      </c>
      <c r="F4" s="15">
        <v>9</v>
      </c>
      <c r="G4" s="15">
        <v>10</v>
      </c>
      <c r="H4" s="15">
        <v>1</v>
      </c>
      <c r="I4" s="15">
        <v>1</v>
      </c>
      <c r="K4" t="s">
        <v>954</v>
      </c>
      <c r="L4" s="15">
        <v>4</v>
      </c>
    </row>
    <row r="5" spans="1:12">
      <c r="A5" t="s">
        <v>972</v>
      </c>
      <c r="B5" s="15">
        <v>1</v>
      </c>
      <c r="C5" s="15">
        <v>8</v>
      </c>
      <c r="D5" s="15">
        <v>3</v>
      </c>
      <c r="E5" s="15">
        <v>1</v>
      </c>
      <c r="F5" s="15">
        <v>1</v>
      </c>
      <c r="G5" s="15">
        <v>8</v>
      </c>
      <c r="H5" s="15">
        <v>2</v>
      </c>
      <c r="I5" s="15">
        <v>1</v>
      </c>
      <c r="K5" t="s">
        <v>1090</v>
      </c>
      <c r="L5" s="15">
        <v>4</v>
      </c>
    </row>
    <row r="6" spans="1:12">
      <c r="A6" t="s">
        <v>972</v>
      </c>
      <c r="B6" s="15">
        <v>2</v>
      </c>
      <c r="C6" s="15">
        <v>2</v>
      </c>
      <c r="D6" s="15">
        <v>8</v>
      </c>
      <c r="E6" s="15">
        <v>4</v>
      </c>
      <c r="F6" s="15">
        <v>8</v>
      </c>
      <c r="G6" s="15">
        <v>8</v>
      </c>
      <c r="H6" s="15">
        <v>2</v>
      </c>
      <c r="I6" s="15">
        <v>1</v>
      </c>
      <c r="K6" t="s">
        <v>1092</v>
      </c>
      <c r="L6" s="15">
        <v>4</v>
      </c>
    </row>
    <row r="7" spans="1:12">
      <c r="A7" t="s">
        <v>972</v>
      </c>
      <c r="B7" s="15">
        <v>2</v>
      </c>
      <c r="C7" s="15">
        <v>2</v>
      </c>
      <c r="D7" s="15">
        <v>4</v>
      </c>
      <c r="E7" s="15">
        <v>1</v>
      </c>
      <c r="F7" s="15">
        <v>7</v>
      </c>
      <c r="G7" s="15">
        <v>6</v>
      </c>
      <c r="H7" s="15">
        <v>2</v>
      </c>
      <c r="I7" s="15">
        <v>7</v>
      </c>
      <c r="K7" t="s">
        <v>1085</v>
      </c>
      <c r="L7" s="15">
        <v>6</v>
      </c>
    </row>
    <row r="8" spans="1:12">
      <c r="A8" t="s">
        <v>972</v>
      </c>
      <c r="B8" s="15">
        <v>3</v>
      </c>
      <c r="C8" s="15">
        <v>3</v>
      </c>
      <c r="D8" s="15">
        <v>3</v>
      </c>
      <c r="E8" s="15">
        <v>2</v>
      </c>
      <c r="F8" s="15">
        <v>5</v>
      </c>
      <c r="G8" s="15">
        <v>6</v>
      </c>
      <c r="H8" s="15">
        <v>4</v>
      </c>
      <c r="I8" s="15">
        <v>1</v>
      </c>
      <c r="K8" t="s">
        <v>1086</v>
      </c>
      <c r="L8" s="15">
        <v>7</v>
      </c>
    </row>
    <row r="9" spans="1:12">
      <c r="A9" t="s">
        <v>972</v>
      </c>
      <c r="B9" s="15">
        <v>3</v>
      </c>
      <c r="C9" s="15">
        <v>2</v>
      </c>
      <c r="D9" s="15">
        <v>6</v>
      </c>
      <c r="E9" s="15">
        <v>7</v>
      </c>
      <c r="F9" s="15">
        <v>8</v>
      </c>
      <c r="G9" s="15">
        <v>8</v>
      </c>
      <c r="H9" s="15">
        <v>1</v>
      </c>
      <c r="I9" s="15">
        <v>1</v>
      </c>
      <c r="K9" t="s">
        <v>1409</v>
      </c>
      <c r="L9" s="15">
        <v>7</v>
      </c>
    </row>
    <row r="10" spans="1:12">
      <c r="A10" t="s">
        <v>974</v>
      </c>
      <c r="B10" s="15">
        <v>3</v>
      </c>
      <c r="C10" s="15">
        <v>5</v>
      </c>
      <c r="D10" s="15">
        <v>6</v>
      </c>
      <c r="E10" s="15">
        <v>4</v>
      </c>
      <c r="F10" s="15">
        <v>9</v>
      </c>
      <c r="G10" s="15">
        <v>10</v>
      </c>
      <c r="H10" s="15">
        <v>2</v>
      </c>
      <c r="I10" s="15">
        <v>1</v>
      </c>
      <c r="K10" t="s">
        <v>1084</v>
      </c>
      <c r="L10" s="15">
        <v>8</v>
      </c>
    </row>
    <row r="11" spans="1:12">
      <c r="A11" t="s">
        <v>974</v>
      </c>
      <c r="B11" s="15">
        <v>3</v>
      </c>
      <c r="C11" s="15">
        <v>3</v>
      </c>
      <c r="D11" s="15">
        <v>3</v>
      </c>
      <c r="E11" s="15">
        <v>3</v>
      </c>
      <c r="F11" s="15">
        <v>5</v>
      </c>
      <c r="G11" s="15">
        <v>8</v>
      </c>
      <c r="H11" s="15">
        <v>3</v>
      </c>
      <c r="I11" s="15">
        <v>3</v>
      </c>
      <c r="K11" t="s">
        <v>1089</v>
      </c>
      <c r="L11" s="15">
        <v>8</v>
      </c>
    </row>
    <row r="12" spans="1:12">
      <c r="A12" t="s">
        <v>972</v>
      </c>
      <c r="B12" s="15">
        <v>4</v>
      </c>
      <c r="C12" s="15">
        <v>5</v>
      </c>
      <c r="D12" s="15">
        <v>6</v>
      </c>
      <c r="E12" s="15">
        <v>5</v>
      </c>
      <c r="F12" s="15">
        <v>8</v>
      </c>
      <c r="G12" s="15">
        <v>8</v>
      </c>
      <c r="H12" s="15">
        <v>4</v>
      </c>
      <c r="I12" s="15">
        <v>5</v>
      </c>
    </row>
    <row r="13" spans="1:12">
      <c r="A13" t="s">
        <v>974</v>
      </c>
      <c r="B13" s="15">
        <v>4</v>
      </c>
      <c r="C13" s="15">
        <v>5</v>
      </c>
      <c r="D13" s="15">
        <v>4</v>
      </c>
      <c r="E13" s="15">
        <v>2</v>
      </c>
      <c r="F13" s="15">
        <v>8</v>
      </c>
      <c r="G13" s="15">
        <v>8</v>
      </c>
      <c r="H13" s="15">
        <v>4</v>
      </c>
      <c r="I13" s="15">
        <v>1</v>
      </c>
    </row>
    <row r="14" spans="1:12">
      <c r="A14" t="s">
        <v>974</v>
      </c>
      <c r="B14" s="15">
        <v>4</v>
      </c>
      <c r="C14" s="15">
        <v>7</v>
      </c>
      <c r="D14" s="15">
        <v>7</v>
      </c>
      <c r="E14" s="15">
        <v>5</v>
      </c>
      <c r="F14" s="15">
        <v>9</v>
      </c>
      <c r="G14" s="15">
        <v>9</v>
      </c>
      <c r="H14" s="15">
        <v>1</v>
      </c>
      <c r="I14" s="15">
        <v>1</v>
      </c>
    </row>
    <row r="15" spans="1:12">
      <c r="A15" t="s">
        <v>972</v>
      </c>
      <c r="B15" s="15">
        <v>5</v>
      </c>
      <c r="C15" s="15">
        <v>4</v>
      </c>
      <c r="D15" s="15">
        <v>6</v>
      </c>
      <c r="E15" s="15">
        <v>1</v>
      </c>
      <c r="F15" s="15">
        <v>1</v>
      </c>
      <c r="G15" s="15">
        <v>10</v>
      </c>
      <c r="H15" s="15">
        <v>3</v>
      </c>
      <c r="I15" s="15">
        <v>8</v>
      </c>
    </row>
    <row r="16" spans="1:12">
      <c r="A16" t="s">
        <v>972</v>
      </c>
      <c r="B16" s="15">
        <v>5</v>
      </c>
      <c r="C16" s="15">
        <v>10</v>
      </c>
      <c r="D16" s="15">
        <v>6</v>
      </c>
      <c r="E16" s="15">
        <v>4</v>
      </c>
      <c r="F16" s="15">
        <v>5</v>
      </c>
      <c r="G16" s="15">
        <v>3</v>
      </c>
      <c r="H16" s="15">
        <v>1</v>
      </c>
      <c r="I16" s="15">
        <v>1</v>
      </c>
    </row>
    <row r="17" spans="1:9">
      <c r="A17" t="s">
        <v>974</v>
      </c>
      <c r="B17" s="15">
        <v>5</v>
      </c>
      <c r="C17" s="15">
        <v>1</v>
      </c>
      <c r="D17" s="15">
        <v>4</v>
      </c>
      <c r="E17" s="15">
        <v>1</v>
      </c>
      <c r="F17" s="15">
        <v>8</v>
      </c>
      <c r="G17" s="15">
        <v>10</v>
      </c>
      <c r="H17" s="15">
        <v>1</v>
      </c>
      <c r="I17" s="15">
        <v>1</v>
      </c>
    </row>
    <row r="18" spans="1:9">
      <c r="A18" t="s">
        <v>972</v>
      </c>
      <c r="B18" s="15">
        <v>5</v>
      </c>
      <c r="C18" s="15">
        <v>2</v>
      </c>
      <c r="D18" s="15">
        <v>2</v>
      </c>
      <c r="E18" s="15">
        <v>2</v>
      </c>
      <c r="F18" s="15">
        <v>7</v>
      </c>
      <c r="G18" s="15">
        <v>8</v>
      </c>
      <c r="H18" s="15">
        <v>2</v>
      </c>
      <c r="I18" s="15">
        <v>6</v>
      </c>
    </row>
    <row r="19" spans="1:9">
      <c r="A19" t="s">
        <v>972</v>
      </c>
      <c r="B19" s="15">
        <v>6</v>
      </c>
      <c r="C19" s="15">
        <v>4</v>
      </c>
      <c r="D19" s="15">
        <v>8</v>
      </c>
      <c r="E19" s="15">
        <v>4</v>
      </c>
      <c r="F19" s="15">
        <v>8</v>
      </c>
      <c r="G19" s="15">
        <v>8</v>
      </c>
      <c r="H19" s="15">
        <v>6</v>
      </c>
      <c r="I19" s="15">
        <v>8</v>
      </c>
    </row>
    <row r="20" spans="1:9">
      <c r="A20" t="s">
        <v>972</v>
      </c>
      <c r="B20" s="15">
        <v>6</v>
      </c>
      <c r="C20" s="15">
        <v>1</v>
      </c>
      <c r="D20" s="15">
        <v>5</v>
      </c>
      <c r="E20" s="15">
        <v>1</v>
      </c>
      <c r="F20" s="15">
        <v>5</v>
      </c>
      <c r="G20" s="15">
        <v>5</v>
      </c>
      <c r="H20" s="15">
        <v>1</v>
      </c>
      <c r="I20" s="15">
        <v>10</v>
      </c>
    </row>
    <row r="21" spans="1:9">
      <c r="A21" t="s">
        <v>972</v>
      </c>
      <c r="B21" s="15">
        <v>6</v>
      </c>
      <c r="C21" s="15">
        <v>6</v>
      </c>
      <c r="D21" s="15">
        <v>8</v>
      </c>
      <c r="E21" s="15">
        <v>1</v>
      </c>
      <c r="F21" s="15">
        <v>8</v>
      </c>
      <c r="G21" s="15">
        <v>8</v>
      </c>
      <c r="H21" s="15">
        <v>1</v>
      </c>
      <c r="I21" s="15">
        <v>1</v>
      </c>
    </row>
    <row r="22" spans="1:9">
      <c r="A22" t="s">
        <v>972</v>
      </c>
      <c r="B22" s="15">
        <v>6</v>
      </c>
      <c r="C22" s="15">
        <v>6</v>
      </c>
      <c r="D22" s="15">
        <v>8</v>
      </c>
      <c r="E22" s="15">
        <v>6</v>
      </c>
      <c r="F22" s="15">
        <v>8</v>
      </c>
      <c r="G22" s="15">
        <v>10</v>
      </c>
      <c r="H22" s="15">
        <v>1</v>
      </c>
      <c r="I22" s="15">
        <v>1</v>
      </c>
    </row>
    <row r="23" spans="1:9">
      <c r="A23" t="s">
        <v>974</v>
      </c>
      <c r="B23" s="15">
        <v>6</v>
      </c>
      <c r="C23" s="15">
        <v>1</v>
      </c>
      <c r="D23" s="15">
        <v>5</v>
      </c>
      <c r="E23" s="15">
        <v>1</v>
      </c>
      <c r="F23" s="15">
        <v>10</v>
      </c>
      <c r="G23" s="15">
        <v>10</v>
      </c>
      <c r="H23" s="15">
        <v>1</v>
      </c>
      <c r="I23" s="15">
        <v>1</v>
      </c>
    </row>
    <row r="24" spans="1:9">
      <c r="A24" t="s">
        <v>972</v>
      </c>
      <c r="B24" s="15">
        <v>6</v>
      </c>
      <c r="C24" s="15">
        <v>2</v>
      </c>
      <c r="D24" s="15">
        <v>2</v>
      </c>
      <c r="E24" s="15">
        <v>1</v>
      </c>
      <c r="F24" s="15">
        <v>1</v>
      </c>
      <c r="G24" s="15">
        <v>3</v>
      </c>
      <c r="H24" s="15">
        <v>1</v>
      </c>
      <c r="I24" s="15">
        <v>8</v>
      </c>
    </row>
    <row r="25" spans="1:9">
      <c r="A25" t="s">
        <v>972</v>
      </c>
      <c r="B25" s="15">
        <v>7</v>
      </c>
      <c r="C25" s="15">
        <v>7</v>
      </c>
      <c r="D25" s="15">
        <v>9</v>
      </c>
      <c r="E25" s="15">
        <v>7</v>
      </c>
      <c r="F25" s="15">
        <v>7</v>
      </c>
      <c r="G25" s="15">
        <v>9</v>
      </c>
      <c r="H25" s="15">
        <v>5</v>
      </c>
      <c r="I25" s="15">
        <v>7</v>
      </c>
    </row>
    <row r="26" spans="1:9">
      <c r="A26" t="s">
        <v>972</v>
      </c>
      <c r="B26" s="15">
        <v>7</v>
      </c>
      <c r="C26" s="15">
        <v>6</v>
      </c>
      <c r="D26" s="15">
        <v>6</v>
      </c>
      <c r="E26" s="15">
        <v>4</v>
      </c>
      <c r="F26" s="15">
        <v>8</v>
      </c>
      <c r="G26" s="15">
        <v>1</v>
      </c>
      <c r="H26" s="15">
        <v>7</v>
      </c>
      <c r="I26" s="15">
        <v>9</v>
      </c>
    </row>
    <row r="27" spans="1:9">
      <c r="A27" t="s">
        <v>972</v>
      </c>
      <c r="B27" s="15">
        <v>7</v>
      </c>
      <c r="C27" s="15">
        <v>2</v>
      </c>
      <c r="D27" s="15">
        <v>8</v>
      </c>
      <c r="E27" s="15">
        <v>2</v>
      </c>
      <c r="F27" s="15">
        <v>6</v>
      </c>
      <c r="G27" s="15">
        <v>7</v>
      </c>
      <c r="H27" s="15">
        <v>3</v>
      </c>
      <c r="I27" s="15">
        <v>1</v>
      </c>
    </row>
    <row r="28" spans="1:9">
      <c r="A28" t="s">
        <v>972</v>
      </c>
      <c r="B28" s="15">
        <v>7</v>
      </c>
      <c r="C28" s="15">
        <v>7</v>
      </c>
      <c r="D28" s="15">
        <v>4</v>
      </c>
      <c r="E28" s="15">
        <v>3</v>
      </c>
      <c r="F28" s="15">
        <v>7</v>
      </c>
      <c r="G28" s="15">
        <v>10</v>
      </c>
      <c r="H28" s="15">
        <v>6</v>
      </c>
      <c r="I28" s="15">
        <v>5</v>
      </c>
    </row>
    <row r="29" spans="1:9">
      <c r="A29" t="s">
        <v>972</v>
      </c>
      <c r="B29" s="15">
        <v>7</v>
      </c>
      <c r="C29" s="15">
        <v>6</v>
      </c>
      <c r="D29" s="15">
        <v>8</v>
      </c>
      <c r="E29" s="15">
        <v>8</v>
      </c>
      <c r="F29" s="15">
        <v>8</v>
      </c>
      <c r="G29" s="15">
        <v>8</v>
      </c>
      <c r="H29" s="15">
        <v>1</v>
      </c>
      <c r="I29" s="15">
        <v>1</v>
      </c>
    </row>
    <row r="30" spans="1:9">
      <c r="A30" t="s">
        <v>972</v>
      </c>
      <c r="B30" s="15">
        <v>7</v>
      </c>
      <c r="C30" s="15">
        <v>7</v>
      </c>
      <c r="D30" s="15">
        <v>7</v>
      </c>
      <c r="E30" s="15">
        <v>5</v>
      </c>
      <c r="F30" s="15">
        <v>7</v>
      </c>
      <c r="G30" s="15">
        <v>8</v>
      </c>
      <c r="H30" s="15">
        <v>6</v>
      </c>
      <c r="I30" s="15">
        <v>5</v>
      </c>
    </row>
    <row r="31" spans="1:9">
      <c r="A31" t="s">
        <v>972</v>
      </c>
      <c r="B31" s="15">
        <v>7</v>
      </c>
      <c r="C31" s="15">
        <v>7</v>
      </c>
      <c r="D31" s="15">
        <v>7</v>
      </c>
      <c r="E31" s="15">
        <v>3</v>
      </c>
      <c r="F31" s="15">
        <v>9</v>
      </c>
      <c r="G31" s="15">
        <v>9</v>
      </c>
      <c r="H31" s="15">
        <v>4</v>
      </c>
      <c r="I31" s="15">
        <v>1</v>
      </c>
    </row>
    <row r="32" spans="1:9">
      <c r="A32" t="s">
        <v>972</v>
      </c>
      <c r="B32" s="15">
        <v>7</v>
      </c>
      <c r="C32" s="15">
        <v>7</v>
      </c>
      <c r="D32" s="15">
        <v>7</v>
      </c>
      <c r="E32" s="15">
        <v>1</v>
      </c>
      <c r="F32" s="15">
        <v>9</v>
      </c>
      <c r="G32" s="15">
        <v>8</v>
      </c>
      <c r="H32" s="15">
        <v>3</v>
      </c>
      <c r="I32" s="15">
        <v>1</v>
      </c>
    </row>
    <row r="33" spans="1:15">
      <c r="A33" t="s">
        <v>972</v>
      </c>
      <c r="B33" s="15">
        <v>7</v>
      </c>
      <c r="C33" s="15">
        <v>1</v>
      </c>
      <c r="D33" s="15">
        <v>6</v>
      </c>
      <c r="E33" s="15">
        <v>1</v>
      </c>
      <c r="F33" s="15">
        <v>6</v>
      </c>
      <c r="G33" s="15">
        <v>1</v>
      </c>
      <c r="H33" s="15">
        <v>9</v>
      </c>
      <c r="I33" s="15">
        <v>1</v>
      </c>
      <c r="K33" s="3" t="s">
        <v>1095</v>
      </c>
    </row>
    <row r="34" spans="1:15">
      <c r="A34" t="s">
        <v>972</v>
      </c>
      <c r="B34" s="15">
        <v>7</v>
      </c>
      <c r="C34" s="15">
        <v>1</v>
      </c>
      <c r="D34" s="15">
        <v>7</v>
      </c>
      <c r="E34" s="15">
        <v>1</v>
      </c>
      <c r="F34" s="15">
        <v>7</v>
      </c>
      <c r="G34" s="15">
        <v>7</v>
      </c>
      <c r="H34" s="15">
        <v>1</v>
      </c>
      <c r="I34" s="15">
        <v>1</v>
      </c>
      <c r="L34" s="3" t="s">
        <v>1094</v>
      </c>
      <c r="M34" s="3" t="s">
        <v>1096</v>
      </c>
      <c r="N34" s="3" t="s">
        <v>1097</v>
      </c>
      <c r="O34" s="3" t="s">
        <v>1076</v>
      </c>
    </row>
    <row r="35" spans="1:15">
      <c r="A35" t="s">
        <v>974</v>
      </c>
      <c r="B35" s="15">
        <v>7</v>
      </c>
      <c r="C35" s="15">
        <v>6</v>
      </c>
      <c r="D35" s="15">
        <v>8</v>
      </c>
      <c r="E35" s="15">
        <v>2</v>
      </c>
      <c r="F35" s="15">
        <v>8</v>
      </c>
      <c r="G35" s="15">
        <v>9</v>
      </c>
      <c r="H35" s="15">
        <v>7</v>
      </c>
      <c r="I35" s="15">
        <v>7</v>
      </c>
      <c r="K35" t="s">
        <v>954</v>
      </c>
      <c r="L35" s="15">
        <v>4</v>
      </c>
      <c r="M35" s="15">
        <v>2</v>
      </c>
      <c r="N35" s="15">
        <v>4</v>
      </c>
      <c r="O35" s="15">
        <v>4</v>
      </c>
    </row>
    <row r="36" spans="1:15">
      <c r="A36" t="s">
        <v>974</v>
      </c>
      <c r="B36" s="15">
        <v>7</v>
      </c>
      <c r="C36" s="15">
        <v>2</v>
      </c>
      <c r="D36" s="15">
        <v>7</v>
      </c>
      <c r="E36" s="15">
        <v>6</v>
      </c>
      <c r="F36" s="15">
        <v>6</v>
      </c>
      <c r="G36" s="15">
        <v>7</v>
      </c>
      <c r="H36" s="15">
        <v>1</v>
      </c>
      <c r="I36" s="15">
        <v>1</v>
      </c>
      <c r="K36" t="s">
        <v>1090</v>
      </c>
      <c r="L36" s="15">
        <v>3</v>
      </c>
      <c r="M36" s="15">
        <v>3</v>
      </c>
      <c r="N36" s="15">
        <v>4</v>
      </c>
      <c r="O36" s="15">
        <v>4</v>
      </c>
    </row>
    <row r="37" spans="1:15">
      <c r="A37" t="s">
        <v>974</v>
      </c>
      <c r="B37" s="15">
        <v>7</v>
      </c>
      <c r="C37" s="15">
        <v>7</v>
      </c>
      <c r="D37" s="15">
        <v>4</v>
      </c>
      <c r="E37" s="15">
        <v>1</v>
      </c>
      <c r="F37" s="15">
        <v>8</v>
      </c>
      <c r="G37" s="15">
        <v>9</v>
      </c>
      <c r="H37" s="15">
        <v>8</v>
      </c>
      <c r="I37" s="15">
        <v>9</v>
      </c>
      <c r="K37" t="s">
        <v>1092</v>
      </c>
      <c r="L37" s="15">
        <v>4</v>
      </c>
      <c r="M37" s="15">
        <v>4</v>
      </c>
      <c r="N37" s="15">
        <v>4</v>
      </c>
      <c r="O37" s="15">
        <v>4</v>
      </c>
    </row>
    <row r="38" spans="1:15">
      <c r="A38" t="s">
        <v>972</v>
      </c>
      <c r="B38" s="15">
        <v>7</v>
      </c>
      <c r="C38" s="15">
        <v>7</v>
      </c>
      <c r="D38" s="15">
        <v>8</v>
      </c>
      <c r="E38" s="15">
        <v>5</v>
      </c>
      <c r="F38" s="15">
        <v>8</v>
      </c>
      <c r="G38" s="15">
        <v>9</v>
      </c>
      <c r="H38" s="15">
        <v>8</v>
      </c>
      <c r="I38" s="15">
        <v>1</v>
      </c>
      <c r="K38" t="s">
        <v>1088</v>
      </c>
      <c r="L38" s="15">
        <v>8</v>
      </c>
      <c r="M38" s="15">
        <v>5</v>
      </c>
      <c r="N38" s="15">
        <v>7</v>
      </c>
      <c r="O38" s="15">
        <v>7</v>
      </c>
    </row>
    <row r="39" spans="1:15">
      <c r="A39" t="s">
        <v>972</v>
      </c>
      <c r="B39" s="15">
        <v>7</v>
      </c>
      <c r="C39" s="15">
        <v>6</v>
      </c>
      <c r="D39" s="15">
        <v>7</v>
      </c>
      <c r="E39" s="15">
        <v>5</v>
      </c>
      <c r="F39" s="15">
        <v>8</v>
      </c>
      <c r="G39" s="15">
        <v>9</v>
      </c>
      <c r="H39" s="15">
        <v>1</v>
      </c>
      <c r="I39" s="15">
        <v>1</v>
      </c>
      <c r="K39" t="s">
        <v>1085</v>
      </c>
      <c r="L39" s="15">
        <v>6</v>
      </c>
      <c r="M39" s="15">
        <v>6</v>
      </c>
      <c r="N39" s="15">
        <v>5</v>
      </c>
      <c r="O39" s="15">
        <v>7</v>
      </c>
    </row>
    <row r="40" spans="1:15">
      <c r="A40" t="s">
        <v>972</v>
      </c>
      <c r="B40" s="15">
        <v>7</v>
      </c>
      <c r="C40" s="15">
        <v>5</v>
      </c>
      <c r="D40" s="15">
        <v>6</v>
      </c>
      <c r="E40" s="15">
        <v>4</v>
      </c>
      <c r="F40" s="15">
        <v>7</v>
      </c>
      <c r="G40" s="15">
        <v>8</v>
      </c>
      <c r="H40" s="15">
        <v>7</v>
      </c>
      <c r="I40" s="15">
        <v>5</v>
      </c>
      <c r="K40" t="s">
        <v>1086</v>
      </c>
      <c r="L40" s="15">
        <v>7</v>
      </c>
      <c r="M40" s="15">
        <v>8</v>
      </c>
      <c r="N40" s="15">
        <v>7</v>
      </c>
      <c r="O40" s="15">
        <v>8</v>
      </c>
    </row>
    <row r="41" spans="1:15">
      <c r="A41" t="s">
        <v>954</v>
      </c>
      <c r="B41" s="15">
        <v>8</v>
      </c>
      <c r="C41" s="15">
        <v>6</v>
      </c>
      <c r="D41" s="15">
        <v>10</v>
      </c>
      <c r="E41" s="15">
        <v>3</v>
      </c>
      <c r="F41" s="15">
        <v>9</v>
      </c>
      <c r="G41" s="15">
        <v>4</v>
      </c>
      <c r="H41" s="15">
        <v>4</v>
      </c>
      <c r="I41" s="15">
        <v>10</v>
      </c>
      <c r="K41" t="s">
        <v>1089</v>
      </c>
      <c r="L41" s="15">
        <v>9</v>
      </c>
      <c r="M41" s="15">
        <v>9</v>
      </c>
      <c r="N41" s="15">
        <v>8</v>
      </c>
      <c r="O41" s="15">
        <v>7</v>
      </c>
    </row>
    <row r="42" spans="1:15">
      <c r="A42" t="s">
        <v>954</v>
      </c>
      <c r="B42" s="15">
        <v>8</v>
      </c>
      <c r="C42" s="15">
        <v>5</v>
      </c>
      <c r="D42" s="15">
        <v>5</v>
      </c>
      <c r="E42" s="15">
        <v>5</v>
      </c>
      <c r="F42" s="15">
        <v>8</v>
      </c>
      <c r="G42" s="15">
        <v>8</v>
      </c>
      <c r="H42" s="15">
        <v>3</v>
      </c>
      <c r="I42" s="15">
        <v>5</v>
      </c>
      <c r="K42" t="s">
        <v>1084</v>
      </c>
      <c r="L42" s="15">
        <v>8</v>
      </c>
      <c r="M42" s="15">
        <v>10</v>
      </c>
      <c r="N42" s="15">
        <v>7</v>
      </c>
      <c r="O42" s="15">
        <v>9</v>
      </c>
    </row>
    <row r="43" spans="1:15">
      <c r="A43" t="s">
        <v>954</v>
      </c>
      <c r="B43" s="15">
        <v>8</v>
      </c>
      <c r="C43" s="15">
        <v>6</v>
      </c>
      <c r="D43" s="15">
        <v>7</v>
      </c>
      <c r="E43" s="15">
        <v>6</v>
      </c>
      <c r="F43" s="15">
        <v>8</v>
      </c>
      <c r="G43" s="15">
        <v>9</v>
      </c>
      <c r="H43" s="15">
        <v>6</v>
      </c>
      <c r="I43" s="15">
        <v>1</v>
      </c>
    </row>
    <row r="44" spans="1:15">
      <c r="A44" t="s">
        <v>972</v>
      </c>
      <c r="B44" s="15">
        <v>8</v>
      </c>
      <c r="C44" s="15">
        <v>1</v>
      </c>
      <c r="D44" s="15">
        <v>8</v>
      </c>
      <c r="E44" s="15">
        <v>1</v>
      </c>
      <c r="F44" s="15">
        <v>7</v>
      </c>
      <c r="G44" s="15">
        <v>9</v>
      </c>
      <c r="H44" s="15">
        <v>1</v>
      </c>
      <c r="I44" s="15">
        <v>1</v>
      </c>
    </row>
    <row r="45" spans="1:15">
      <c r="A45" t="s">
        <v>972</v>
      </c>
      <c r="B45" s="15">
        <v>8</v>
      </c>
      <c r="C45" s="15">
        <v>1</v>
      </c>
      <c r="D45" s="15">
        <v>3</v>
      </c>
      <c r="E45" s="15">
        <v>1</v>
      </c>
      <c r="F45" s="15">
        <v>8</v>
      </c>
      <c r="G45" s="15">
        <v>10</v>
      </c>
      <c r="H45" s="15">
        <v>8</v>
      </c>
      <c r="I45" s="15">
        <v>1</v>
      </c>
    </row>
    <row r="46" spans="1:15">
      <c r="A46" t="s">
        <v>972</v>
      </c>
      <c r="B46" s="15">
        <v>8</v>
      </c>
      <c r="C46" s="15">
        <v>8</v>
      </c>
      <c r="D46" s="15">
        <v>9</v>
      </c>
      <c r="E46" s="15">
        <v>4</v>
      </c>
      <c r="F46" s="15">
        <v>8</v>
      </c>
      <c r="G46" s="15">
        <v>9</v>
      </c>
      <c r="H46" s="15">
        <v>7</v>
      </c>
      <c r="I46" s="15">
        <v>1</v>
      </c>
    </row>
    <row r="47" spans="1:15">
      <c r="A47" t="s">
        <v>972</v>
      </c>
      <c r="B47" s="15">
        <v>8</v>
      </c>
      <c r="C47" s="15">
        <v>10</v>
      </c>
      <c r="D47" s="15">
        <v>10</v>
      </c>
      <c r="E47" s="15">
        <v>5</v>
      </c>
      <c r="F47" s="15">
        <v>10</v>
      </c>
      <c r="G47" s="15">
        <v>8</v>
      </c>
      <c r="H47" s="15">
        <v>1</v>
      </c>
      <c r="I47" s="15">
        <v>5</v>
      </c>
      <c r="L47" s="15"/>
    </row>
    <row r="48" spans="1:15">
      <c r="A48" t="s">
        <v>972</v>
      </c>
      <c r="B48" s="15">
        <v>8</v>
      </c>
      <c r="C48" s="15">
        <v>8</v>
      </c>
      <c r="D48" s="15">
        <v>8</v>
      </c>
      <c r="E48" s="15">
        <v>2</v>
      </c>
      <c r="F48" s="15">
        <v>8</v>
      </c>
      <c r="G48" s="15">
        <v>8</v>
      </c>
      <c r="H48" s="15">
        <v>2</v>
      </c>
      <c r="I48" s="15">
        <v>8</v>
      </c>
    </row>
    <row r="49" spans="1:9">
      <c r="A49" t="s">
        <v>972</v>
      </c>
      <c r="B49" s="15">
        <v>8</v>
      </c>
      <c r="C49" s="15">
        <v>7</v>
      </c>
      <c r="D49" s="15">
        <v>8</v>
      </c>
      <c r="E49" s="15">
        <v>6</v>
      </c>
      <c r="F49" s="15">
        <v>8</v>
      </c>
      <c r="G49" s="15">
        <v>9</v>
      </c>
      <c r="H49" s="15">
        <v>4</v>
      </c>
      <c r="I49" s="15">
        <v>9</v>
      </c>
    </row>
    <row r="50" spans="1:9">
      <c r="A50" t="s">
        <v>972</v>
      </c>
      <c r="B50" s="15">
        <v>8</v>
      </c>
      <c r="C50" s="15">
        <v>7</v>
      </c>
      <c r="D50" s="15">
        <v>8</v>
      </c>
      <c r="E50" s="15">
        <v>5</v>
      </c>
      <c r="F50" s="15">
        <v>8</v>
      </c>
      <c r="G50" s="15">
        <v>8</v>
      </c>
      <c r="H50" s="15">
        <v>5</v>
      </c>
      <c r="I50" s="15">
        <v>5</v>
      </c>
    </row>
    <row r="51" spans="1:9">
      <c r="A51" t="s">
        <v>972</v>
      </c>
      <c r="B51" s="15">
        <v>8</v>
      </c>
      <c r="C51" s="15">
        <v>7</v>
      </c>
      <c r="D51" s="15">
        <v>5</v>
      </c>
      <c r="E51" s="15">
        <v>1</v>
      </c>
      <c r="F51" s="15">
        <v>7</v>
      </c>
      <c r="G51" s="15">
        <v>2</v>
      </c>
      <c r="H51" s="15">
        <v>5</v>
      </c>
      <c r="I51" s="15">
        <v>7</v>
      </c>
    </row>
    <row r="52" spans="1:9">
      <c r="A52" t="s">
        <v>972</v>
      </c>
      <c r="B52" s="15">
        <v>8</v>
      </c>
      <c r="C52" s="15">
        <v>8</v>
      </c>
      <c r="D52" s="15">
        <v>8</v>
      </c>
      <c r="E52" s="15">
        <v>3</v>
      </c>
      <c r="F52" s="15">
        <v>3</v>
      </c>
      <c r="G52" s="15">
        <v>7</v>
      </c>
      <c r="H52" s="15">
        <v>7</v>
      </c>
      <c r="I52" s="15">
        <v>1</v>
      </c>
    </row>
    <row r="53" spans="1:9">
      <c r="A53" t="s">
        <v>972</v>
      </c>
      <c r="B53" s="15">
        <v>8</v>
      </c>
      <c r="C53" s="15">
        <v>5</v>
      </c>
      <c r="D53" s="15">
        <v>7</v>
      </c>
      <c r="E53" s="15">
        <v>4</v>
      </c>
      <c r="F53" s="15">
        <v>7</v>
      </c>
      <c r="G53" s="15">
        <v>7</v>
      </c>
      <c r="H53" s="15">
        <v>1</v>
      </c>
      <c r="I53" s="15">
        <v>1</v>
      </c>
    </row>
    <row r="54" spans="1:9">
      <c r="A54" t="s">
        <v>972</v>
      </c>
      <c r="B54" s="15">
        <v>8</v>
      </c>
      <c r="C54" s="15">
        <v>7</v>
      </c>
      <c r="D54" s="15">
        <v>8</v>
      </c>
      <c r="E54" s="15">
        <v>7</v>
      </c>
      <c r="F54" s="15">
        <v>7</v>
      </c>
      <c r="G54" s="15">
        <v>9</v>
      </c>
      <c r="H54" s="15">
        <v>7</v>
      </c>
      <c r="I54" s="15">
        <v>5</v>
      </c>
    </row>
    <row r="55" spans="1:9">
      <c r="A55" t="s">
        <v>972</v>
      </c>
      <c r="B55" s="15">
        <v>8</v>
      </c>
      <c r="C55" s="15">
        <v>6</v>
      </c>
      <c r="D55" s="15">
        <v>7</v>
      </c>
      <c r="E55" s="15">
        <v>2</v>
      </c>
      <c r="F55" s="15">
        <v>9</v>
      </c>
      <c r="G55" s="15">
        <v>9</v>
      </c>
      <c r="H55" s="15">
        <v>2</v>
      </c>
      <c r="I55" s="15">
        <v>5</v>
      </c>
    </row>
    <row r="56" spans="1:9">
      <c r="A56" t="s">
        <v>972</v>
      </c>
      <c r="B56" s="15">
        <v>8</v>
      </c>
      <c r="C56" s="15">
        <v>8</v>
      </c>
      <c r="D56" s="15">
        <v>8</v>
      </c>
      <c r="E56" s="15">
        <v>5</v>
      </c>
      <c r="F56" s="15">
        <v>7</v>
      </c>
      <c r="G56" s="15">
        <v>9</v>
      </c>
      <c r="H56" s="15">
        <v>5</v>
      </c>
      <c r="I56" s="15">
        <v>1</v>
      </c>
    </row>
    <row r="57" spans="1:9">
      <c r="A57" t="s">
        <v>974</v>
      </c>
      <c r="B57" s="15">
        <v>8</v>
      </c>
      <c r="C57" s="15">
        <v>5</v>
      </c>
      <c r="D57" s="15">
        <v>8</v>
      </c>
      <c r="E57" s="15">
        <v>5</v>
      </c>
      <c r="F57" s="15">
        <v>7</v>
      </c>
      <c r="G57" s="15">
        <v>9</v>
      </c>
      <c r="H57" s="15">
        <v>6</v>
      </c>
      <c r="I57" s="15">
        <v>1</v>
      </c>
    </row>
    <row r="58" spans="1:9">
      <c r="A58" t="s">
        <v>974</v>
      </c>
      <c r="B58" s="15">
        <v>8</v>
      </c>
      <c r="C58" s="15">
        <v>1</v>
      </c>
      <c r="D58" s="15">
        <v>5</v>
      </c>
      <c r="E58" s="15">
        <v>1</v>
      </c>
      <c r="F58" s="15">
        <v>9</v>
      </c>
      <c r="G58" s="15">
        <v>9</v>
      </c>
      <c r="H58" s="15">
        <v>1</v>
      </c>
      <c r="I58" s="15">
        <v>1</v>
      </c>
    </row>
    <row r="59" spans="1:9">
      <c r="A59" t="s">
        <v>974</v>
      </c>
      <c r="B59" s="15">
        <v>8</v>
      </c>
      <c r="C59" s="15">
        <v>8</v>
      </c>
      <c r="D59" s="15">
        <v>8</v>
      </c>
      <c r="E59" s="15">
        <v>2</v>
      </c>
      <c r="F59" s="15">
        <v>9</v>
      </c>
      <c r="G59" s="15">
        <v>10</v>
      </c>
      <c r="H59" s="15">
        <v>7</v>
      </c>
      <c r="I59" s="15">
        <v>6</v>
      </c>
    </row>
    <row r="60" spans="1:9">
      <c r="A60" t="s">
        <v>974</v>
      </c>
      <c r="B60" s="15">
        <v>8</v>
      </c>
      <c r="C60" s="15">
        <v>3</v>
      </c>
      <c r="D60" s="15">
        <v>5</v>
      </c>
      <c r="E60" s="15">
        <v>3</v>
      </c>
      <c r="F60" s="15">
        <v>5</v>
      </c>
      <c r="G60" s="15">
        <v>8</v>
      </c>
      <c r="H60" s="15">
        <v>1</v>
      </c>
      <c r="I60" s="15">
        <v>1</v>
      </c>
    </row>
    <row r="61" spans="1:9">
      <c r="A61" t="s">
        <v>974</v>
      </c>
      <c r="B61" s="15">
        <v>8</v>
      </c>
      <c r="C61" s="15">
        <v>5</v>
      </c>
      <c r="D61" s="15">
        <v>8</v>
      </c>
      <c r="E61" s="15">
        <v>5</v>
      </c>
      <c r="F61" s="15">
        <v>8</v>
      </c>
      <c r="G61" s="15">
        <v>8</v>
      </c>
      <c r="H61" s="15">
        <v>5</v>
      </c>
      <c r="I61" s="15">
        <v>5</v>
      </c>
    </row>
    <row r="62" spans="1:9">
      <c r="A62" t="s">
        <v>974</v>
      </c>
      <c r="B62" s="15">
        <v>8</v>
      </c>
      <c r="C62" s="15">
        <v>8</v>
      </c>
      <c r="D62" s="15">
        <v>8</v>
      </c>
      <c r="E62" s="15">
        <v>4</v>
      </c>
      <c r="F62" s="15">
        <v>8</v>
      </c>
      <c r="G62" s="15">
        <v>10</v>
      </c>
      <c r="H62" s="15">
        <v>6</v>
      </c>
      <c r="I62" s="15">
        <v>4</v>
      </c>
    </row>
    <row r="63" spans="1:9">
      <c r="A63" t="s">
        <v>974</v>
      </c>
      <c r="B63" s="15">
        <v>8</v>
      </c>
      <c r="C63" s="15">
        <v>6</v>
      </c>
      <c r="D63" s="15">
        <v>8</v>
      </c>
      <c r="E63" s="15">
        <v>4</v>
      </c>
      <c r="F63" s="15">
        <v>4</v>
      </c>
      <c r="G63" s="15">
        <v>8</v>
      </c>
      <c r="H63" s="15">
        <v>5</v>
      </c>
      <c r="I63" s="15">
        <v>4</v>
      </c>
    </row>
    <row r="64" spans="1:9">
      <c r="A64" t="s">
        <v>972</v>
      </c>
      <c r="B64" s="15">
        <v>8</v>
      </c>
      <c r="C64" s="15">
        <v>7</v>
      </c>
      <c r="D64" s="15">
        <v>8</v>
      </c>
      <c r="E64" s="15">
        <v>5</v>
      </c>
      <c r="F64" s="15">
        <v>9</v>
      </c>
      <c r="G64" s="15">
        <v>9</v>
      </c>
      <c r="H64" s="15">
        <v>8</v>
      </c>
      <c r="I64" s="15">
        <v>5</v>
      </c>
    </row>
    <row r="65" spans="1:12">
      <c r="A65" t="s">
        <v>972</v>
      </c>
      <c r="B65" s="15">
        <v>8</v>
      </c>
      <c r="C65" s="15">
        <v>7</v>
      </c>
      <c r="D65" s="15">
        <v>9</v>
      </c>
      <c r="E65" s="15">
        <v>5</v>
      </c>
      <c r="F65" s="15">
        <v>6</v>
      </c>
      <c r="G65" s="15">
        <v>7</v>
      </c>
      <c r="H65" s="15">
        <v>3</v>
      </c>
      <c r="I65" s="15">
        <v>1</v>
      </c>
    </row>
    <row r="66" spans="1:12">
      <c r="A66" t="s">
        <v>972</v>
      </c>
      <c r="B66" s="15">
        <v>8</v>
      </c>
      <c r="C66" s="15">
        <v>7</v>
      </c>
      <c r="D66" s="15">
        <v>2</v>
      </c>
      <c r="E66" s="15">
        <v>2</v>
      </c>
      <c r="F66" s="15">
        <v>2</v>
      </c>
      <c r="G66" s="15">
        <v>9</v>
      </c>
      <c r="H66" s="15">
        <v>1</v>
      </c>
      <c r="I66" s="15">
        <v>10</v>
      </c>
    </row>
    <row r="67" spans="1:12">
      <c r="A67" t="s">
        <v>972</v>
      </c>
      <c r="B67" s="15">
        <v>8</v>
      </c>
      <c r="C67" s="15">
        <v>1</v>
      </c>
      <c r="D67" s="15">
        <v>1</v>
      </c>
      <c r="E67" s="15">
        <v>1</v>
      </c>
      <c r="F67" s="15">
        <v>8</v>
      </c>
      <c r="G67" s="15">
        <v>8</v>
      </c>
      <c r="H67" s="15">
        <v>1</v>
      </c>
      <c r="I67" s="15">
        <v>1</v>
      </c>
    </row>
    <row r="68" spans="1:12">
      <c r="A68" t="s">
        <v>972</v>
      </c>
      <c r="B68" s="15">
        <v>8</v>
      </c>
      <c r="C68" s="15">
        <v>5</v>
      </c>
      <c r="D68" s="15">
        <v>7</v>
      </c>
      <c r="E68" s="15">
        <v>5</v>
      </c>
      <c r="F68" s="15">
        <v>8</v>
      </c>
      <c r="G68" s="15">
        <v>7</v>
      </c>
      <c r="H68" s="15">
        <v>5</v>
      </c>
      <c r="I68" s="15">
        <v>1</v>
      </c>
    </row>
    <row r="69" spans="1:12">
      <c r="A69" t="s">
        <v>973</v>
      </c>
      <c r="B69" s="15">
        <v>8</v>
      </c>
      <c r="C69" s="15">
        <v>6</v>
      </c>
      <c r="D69" s="15">
        <v>8</v>
      </c>
      <c r="E69" s="15">
        <v>3</v>
      </c>
      <c r="F69" s="15">
        <v>8</v>
      </c>
      <c r="G69" s="15">
        <v>10</v>
      </c>
      <c r="H69" s="15">
        <v>7</v>
      </c>
      <c r="I69" s="15">
        <v>7</v>
      </c>
    </row>
    <row r="70" spans="1:12">
      <c r="A70" t="s">
        <v>954</v>
      </c>
      <c r="B70" s="15">
        <v>9</v>
      </c>
      <c r="C70" s="15">
        <v>10</v>
      </c>
      <c r="D70" s="15">
        <v>8</v>
      </c>
      <c r="E70" s="15">
        <v>2</v>
      </c>
      <c r="F70" s="15">
        <v>10</v>
      </c>
      <c r="G70" s="15">
        <v>10</v>
      </c>
      <c r="H70" s="15">
        <v>8</v>
      </c>
      <c r="I70" s="15">
        <v>1</v>
      </c>
      <c r="K70" t="s">
        <v>1203</v>
      </c>
    </row>
    <row r="71" spans="1:12">
      <c r="A71" t="s">
        <v>973</v>
      </c>
      <c r="B71" s="15">
        <v>9</v>
      </c>
      <c r="C71" s="15">
        <v>8</v>
      </c>
      <c r="D71" s="15">
        <v>8</v>
      </c>
      <c r="E71" s="15">
        <v>4</v>
      </c>
      <c r="F71" s="15">
        <v>8</v>
      </c>
      <c r="G71" s="15">
        <v>8</v>
      </c>
      <c r="H71" s="15">
        <v>4</v>
      </c>
      <c r="I71" s="15">
        <v>4</v>
      </c>
    </row>
    <row r="72" spans="1:12">
      <c r="A72" t="s">
        <v>972</v>
      </c>
      <c r="B72" s="15">
        <v>9</v>
      </c>
      <c r="C72" s="15">
        <v>3</v>
      </c>
      <c r="D72" s="15">
        <v>8</v>
      </c>
      <c r="E72" s="15">
        <v>3</v>
      </c>
      <c r="F72" s="15">
        <v>8</v>
      </c>
      <c r="G72" s="15">
        <v>9</v>
      </c>
      <c r="H72" s="15">
        <v>7</v>
      </c>
      <c r="I72" s="15">
        <v>9</v>
      </c>
      <c r="K72" t="s">
        <v>974</v>
      </c>
      <c r="L72" t="s">
        <v>585</v>
      </c>
    </row>
    <row r="73" spans="1:12">
      <c r="A73" t="s">
        <v>972</v>
      </c>
      <c r="B73" s="15">
        <v>9</v>
      </c>
      <c r="C73" s="15">
        <v>8</v>
      </c>
      <c r="D73" s="15">
        <v>10</v>
      </c>
      <c r="E73" s="15">
        <v>8</v>
      </c>
      <c r="F73" s="15">
        <v>10</v>
      </c>
      <c r="G73" s="15">
        <v>10</v>
      </c>
      <c r="H73" s="15">
        <v>8</v>
      </c>
      <c r="I73" s="15">
        <v>9</v>
      </c>
      <c r="K73" t="s">
        <v>974</v>
      </c>
      <c r="L73" t="s">
        <v>583</v>
      </c>
    </row>
    <row r="74" spans="1:12">
      <c r="A74" t="s">
        <v>972</v>
      </c>
      <c r="B74" s="15">
        <v>9</v>
      </c>
      <c r="C74" s="15">
        <v>9</v>
      </c>
      <c r="D74" s="15">
        <v>9</v>
      </c>
      <c r="E74" s="15">
        <v>5</v>
      </c>
      <c r="F74" s="15">
        <v>9</v>
      </c>
      <c r="G74" s="15">
        <v>9</v>
      </c>
      <c r="H74" s="15">
        <v>5</v>
      </c>
      <c r="I74" s="15">
        <v>5</v>
      </c>
      <c r="K74" t="s">
        <v>974</v>
      </c>
      <c r="L74" t="s">
        <v>572</v>
      </c>
    </row>
    <row r="75" spans="1:12">
      <c r="A75" t="s">
        <v>972</v>
      </c>
      <c r="B75" s="15">
        <v>9</v>
      </c>
      <c r="C75" s="15">
        <v>6</v>
      </c>
      <c r="D75" s="15">
        <v>8</v>
      </c>
      <c r="E75" s="15">
        <v>3</v>
      </c>
      <c r="F75" s="15">
        <v>9</v>
      </c>
      <c r="G75" s="15">
        <v>7</v>
      </c>
      <c r="H75" s="15">
        <v>6</v>
      </c>
      <c r="I75" s="15">
        <v>1</v>
      </c>
      <c r="K75" t="s">
        <v>974</v>
      </c>
      <c r="L75" t="s">
        <v>638</v>
      </c>
    </row>
    <row r="76" spans="1:12">
      <c r="A76" t="s">
        <v>972</v>
      </c>
      <c r="B76" s="15">
        <v>9</v>
      </c>
      <c r="C76" s="15">
        <v>6</v>
      </c>
      <c r="D76" s="15">
        <v>8</v>
      </c>
      <c r="E76" s="15">
        <v>6</v>
      </c>
      <c r="F76" s="15">
        <v>8</v>
      </c>
      <c r="G76" s="15">
        <v>8</v>
      </c>
      <c r="H76" s="15">
        <v>3</v>
      </c>
      <c r="I76" s="15">
        <v>1</v>
      </c>
      <c r="K76" t="s">
        <v>974</v>
      </c>
      <c r="L76" t="s">
        <v>614</v>
      </c>
    </row>
    <row r="77" spans="1:12">
      <c r="A77" t="s">
        <v>974</v>
      </c>
      <c r="B77" s="15">
        <v>9</v>
      </c>
      <c r="C77" s="15">
        <v>7</v>
      </c>
      <c r="D77" s="15">
        <v>7</v>
      </c>
      <c r="E77" s="15">
        <v>5</v>
      </c>
      <c r="F77" s="15">
        <v>9</v>
      </c>
      <c r="G77" s="15">
        <v>9</v>
      </c>
      <c r="H77" s="15">
        <v>1</v>
      </c>
      <c r="I77" s="15">
        <v>1</v>
      </c>
      <c r="K77" t="s">
        <v>974</v>
      </c>
      <c r="L77" t="s">
        <v>567</v>
      </c>
    </row>
    <row r="78" spans="1:12">
      <c r="A78" t="s">
        <v>974</v>
      </c>
      <c r="B78" s="15">
        <v>9</v>
      </c>
      <c r="C78" s="15">
        <v>9</v>
      </c>
      <c r="D78" s="15">
        <v>7</v>
      </c>
      <c r="E78" s="15">
        <v>4</v>
      </c>
      <c r="F78" s="15">
        <v>9</v>
      </c>
      <c r="G78" s="15">
        <v>10</v>
      </c>
      <c r="H78" s="15">
        <v>2</v>
      </c>
      <c r="I78" s="15">
        <v>6</v>
      </c>
      <c r="K78" t="s">
        <v>973</v>
      </c>
      <c r="L78" t="s">
        <v>627</v>
      </c>
    </row>
    <row r="79" spans="1:12">
      <c r="A79" t="s">
        <v>974</v>
      </c>
      <c r="B79" s="15">
        <v>9</v>
      </c>
      <c r="C79" s="15">
        <v>8</v>
      </c>
      <c r="D79" s="15">
        <v>9</v>
      </c>
      <c r="E79" s="15">
        <v>7</v>
      </c>
      <c r="F79" s="15">
        <v>7</v>
      </c>
      <c r="G79" s="15">
        <v>9</v>
      </c>
      <c r="H79" s="15">
        <v>6</v>
      </c>
      <c r="I79" s="15">
        <v>9</v>
      </c>
      <c r="K79" t="s">
        <v>972</v>
      </c>
      <c r="L79" t="s">
        <v>597</v>
      </c>
    </row>
    <row r="80" spans="1:12">
      <c r="A80" t="s">
        <v>974</v>
      </c>
      <c r="B80" s="15">
        <v>9</v>
      </c>
      <c r="C80" s="15">
        <v>8</v>
      </c>
      <c r="D80" s="15">
        <v>5</v>
      </c>
      <c r="E80" s="15">
        <v>8</v>
      </c>
      <c r="F80" s="15">
        <v>6</v>
      </c>
      <c r="G80" s="15">
        <v>7</v>
      </c>
      <c r="H80" s="15">
        <v>1</v>
      </c>
      <c r="I80" s="15">
        <v>1</v>
      </c>
      <c r="K80" t="s">
        <v>972</v>
      </c>
      <c r="L80" t="s">
        <v>629</v>
      </c>
    </row>
    <row r="81" spans="1:12">
      <c r="A81" t="s">
        <v>974</v>
      </c>
      <c r="B81" s="15">
        <v>9</v>
      </c>
      <c r="C81" s="15">
        <v>6</v>
      </c>
      <c r="D81" s="15">
        <v>8</v>
      </c>
      <c r="E81" s="15">
        <v>2</v>
      </c>
      <c r="F81" s="15">
        <v>7</v>
      </c>
      <c r="G81" s="15">
        <v>7</v>
      </c>
      <c r="H81" s="15">
        <v>6</v>
      </c>
      <c r="I81" s="15">
        <v>7</v>
      </c>
      <c r="K81" t="s">
        <v>972</v>
      </c>
      <c r="L81" t="s">
        <v>640</v>
      </c>
    </row>
    <row r="82" spans="1:12">
      <c r="A82" t="s">
        <v>974</v>
      </c>
      <c r="B82" s="15">
        <v>9</v>
      </c>
      <c r="C82" s="15">
        <v>5</v>
      </c>
      <c r="D82" s="15">
        <v>2</v>
      </c>
      <c r="E82" s="15">
        <v>1</v>
      </c>
      <c r="F82" s="15">
        <v>7</v>
      </c>
      <c r="G82" s="15">
        <v>6</v>
      </c>
      <c r="H82" s="15">
        <v>1</v>
      </c>
      <c r="I82" s="15">
        <v>9</v>
      </c>
      <c r="K82" t="s">
        <v>972</v>
      </c>
      <c r="L82" t="s">
        <v>533</v>
      </c>
    </row>
    <row r="83" spans="1:12">
      <c r="A83" t="s">
        <v>972</v>
      </c>
      <c r="B83" s="15">
        <v>9</v>
      </c>
      <c r="C83" s="15">
        <v>9</v>
      </c>
      <c r="D83" s="15">
        <v>6</v>
      </c>
      <c r="E83" s="15">
        <v>7</v>
      </c>
      <c r="F83" s="15">
        <v>6</v>
      </c>
      <c r="G83" s="15">
        <v>9</v>
      </c>
      <c r="H83" s="15">
        <v>7</v>
      </c>
      <c r="I83" s="15">
        <v>8</v>
      </c>
      <c r="K83" t="s">
        <v>972</v>
      </c>
      <c r="L83" t="s">
        <v>588</v>
      </c>
    </row>
    <row r="84" spans="1:12">
      <c r="A84" t="s">
        <v>972</v>
      </c>
      <c r="B84" s="15">
        <v>9</v>
      </c>
      <c r="C84" s="15">
        <v>5</v>
      </c>
      <c r="D84" s="15">
        <v>9</v>
      </c>
      <c r="E84" s="15">
        <v>3</v>
      </c>
      <c r="F84" s="15">
        <v>9</v>
      </c>
      <c r="G84" s="15">
        <v>9</v>
      </c>
      <c r="H84" s="15">
        <v>3</v>
      </c>
      <c r="I84" s="15">
        <v>2</v>
      </c>
      <c r="K84" t="s">
        <v>972</v>
      </c>
      <c r="L84" t="s">
        <v>564</v>
      </c>
    </row>
    <row r="85" spans="1:12">
      <c r="A85" t="s">
        <v>973</v>
      </c>
      <c r="B85" s="15">
        <v>10</v>
      </c>
      <c r="C85" s="15">
        <v>8</v>
      </c>
      <c r="D85" s="15">
        <v>10</v>
      </c>
      <c r="E85" s="15">
        <v>2</v>
      </c>
      <c r="F85" s="15">
        <v>5</v>
      </c>
      <c r="G85" s="15">
        <v>10</v>
      </c>
      <c r="H85" s="15">
        <v>2</v>
      </c>
      <c r="I85" s="15">
        <v>1</v>
      </c>
      <c r="K85" t="s">
        <v>972</v>
      </c>
      <c r="L85" t="s">
        <v>546</v>
      </c>
    </row>
    <row r="86" spans="1:12">
      <c r="A86" t="s">
        <v>973</v>
      </c>
      <c r="B86" s="15">
        <v>10</v>
      </c>
      <c r="C86" s="15">
        <v>5</v>
      </c>
      <c r="D86" s="15">
        <v>10</v>
      </c>
      <c r="E86" s="15">
        <v>5</v>
      </c>
      <c r="F86" s="15">
        <v>2</v>
      </c>
      <c r="G86" s="15">
        <v>10</v>
      </c>
      <c r="H86" s="15">
        <v>2</v>
      </c>
      <c r="I86" s="15">
        <v>1</v>
      </c>
      <c r="K86" t="s">
        <v>972</v>
      </c>
      <c r="L86" t="s">
        <v>540</v>
      </c>
    </row>
    <row r="87" spans="1:12">
      <c r="A87" t="s">
        <v>972</v>
      </c>
      <c r="B87" s="15">
        <v>10</v>
      </c>
      <c r="C87" s="15">
        <v>8</v>
      </c>
      <c r="D87" s="15">
        <v>10</v>
      </c>
      <c r="E87" s="15">
        <v>7</v>
      </c>
      <c r="F87" s="15">
        <v>8</v>
      </c>
      <c r="G87" s="15">
        <v>8</v>
      </c>
      <c r="H87" s="15">
        <v>7</v>
      </c>
      <c r="I87" s="15">
        <v>7</v>
      </c>
      <c r="K87" t="s">
        <v>972</v>
      </c>
      <c r="L87" t="s">
        <v>522</v>
      </c>
    </row>
    <row r="88" spans="1:12">
      <c r="A88" t="s">
        <v>972</v>
      </c>
      <c r="B88" s="15">
        <v>10</v>
      </c>
      <c r="C88" s="15">
        <v>10</v>
      </c>
      <c r="D88" s="15">
        <v>10</v>
      </c>
      <c r="E88" s="15">
        <v>10</v>
      </c>
      <c r="F88" s="15">
        <v>10</v>
      </c>
      <c r="G88" s="15">
        <v>10</v>
      </c>
      <c r="H88" s="15">
        <v>10</v>
      </c>
      <c r="I88" s="15">
        <v>10</v>
      </c>
      <c r="K88" t="s">
        <v>972</v>
      </c>
      <c r="L88" t="s">
        <v>548</v>
      </c>
    </row>
    <row r="89" spans="1:12">
      <c r="A89" t="s">
        <v>972</v>
      </c>
      <c r="B89" s="15">
        <v>10</v>
      </c>
      <c r="C89" s="15">
        <v>5</v>
      </c>
      <c r="D89" s="15">
        <v>8</v>
      </c>
      <c r="E89" s="15">
        <v>1</v>
      </c>
      <c r="F89" s="15">
        <v>1</v>
      </c>
      <c r="G89" s="15">
        <v>8</v>
      </c>
      <c r="H89" s="15">
        <v>8</v>
      </c>
      <c r="I89" s="15">
        <v>1</v>
      </c>
      <c r="K89" t="s">
        <v>972</v>
      </c>
      <c r="L89" t="s">
        <v>600</v>
      </c>
    </row>
    <row r="90" spans="1:12">
      <c r="A90" t="s">
        <v>972</v>
      </c>
      <c r="B90" s="15">
        <v>10</v>
      </c>
      <c r="C90" s="15">
        <v>1</v>
      </c>
      <c r="D90" s="15">
        <v>2</v>
      </c>
      <c r="E90" s="15">
        <v>2</v>
      </c>
      <c r="F90" s="15">
        <v>1</v>
      </c>
      <c r="G90" s="15">
        <v>10</v>
      </c>
      <c r="H90" s="15">
        <v>5</v>
      </c>
      <c r="I90" s="15">
        <v>1</v>
      </c>
      <c r="K90" t="s">
        <v>972</v>
      </c>
      <c r="L90" t="s">
        <v>611</v>
      </c>
    </row>
    <row r="91" spans="1:12">
      <c r="A91" t="s">
        <v>972</v>
      </c>
      <c r="B91" s="15">
        <v>10</v>
      </c>
      <c r="C91" s="15">
        <v>5</v>
      </c>
      <c r="D91" s="15">
        <v>10</v>
      </c>
      <c r="E91" s="15">
        <v>1</v>
      </c>
      <c r="F91" s="15">
        <v>10</v>
      </c>
      <c r="G91" s="15">
        <v>7</v>
      </c>
      <c r="H91" s="15">
        <v>5</v>
      </c>
      <c r="I91" s="15">
        <v>10</v>
      </c>
      <c r="K91" t="s">
        <v>972</v>
      </c>
      <c r="L91" t="s">
        <v>531</v>
      </c>
    </row>
    <row r="92" spans="1:12">
      <c r="A92" t="s">
        <v>974</v>
      </c>
      <c r="B92" s="15">
        <v>10</v>
      </c>
      <c r="C92" s="15">
        <v>3</v>
      </c>
      <c r="D92" s="15">
        <v>10</v>
      </c>
      <c r="E92" s="15">
        <v>8</v>
      </c>
      <c r="F92" s="15">
        <v>10</v>
      </c>
      <c r="G92" s="15">
        <v>8</v>
      </c>
      <c r="H92" s="15">
        <v>9</v>
      </c>
      <c r="I92" s="15">
        <v>3</v>
      </c>
      <c r="K92" t="s">
        <v>972</v>
      </c>
      <c r="L92" t="s">
        <v>582</v>
      </c>
    </row>
    <row r="93" spans="1:12">
      <c r="A93" t="s">
        <v>974</v>
      </c>
      <c r="B93" s="15">
        <v>10</v>
      </c>
      <c r="C93" s="15">
        <v>3</v>
      </c>
      <c r="D93" s="15">
        <v>10</v>
      </c>
      <c r="E93" s="15">
        <v>1</v>
      </c>
      <c r="F93" s="15">
        <v>8</v>
      </c>
      <c r="G93" s="15">
        <v>10</v>
      </c>
      <c r="H93" s="15">
        <v>1</v>
      </c>
      <c r="I93" s="15">
        <v>1</v>
      </c>
      <c r="K93" t="s">
        <v>972</v>
      </c>
      <c r="L93" t="s">
        <v>565</v>
      </c>
    </row>
    <row r="94" spans="1:12">
      <c r="A94" t="s">
        <v>974</v>
      </c>
      <c r="B94" s="15">
        <v>10</v>
      </c>
      <c r="C94" s="15">
        <v>10</v>
      </c>
      <c r="D94" s="15">
        <v>7</v>
      </c>
      <c r="E94" s="15">
        <v>2</v>
      </c>
      <c r="F94" s="15">
        <v>8</v>
      </c>
      <c r="G94" s="15">
        <v>10</v>
      </c>
      <c r="H94" s="15">
        <v>7</v>
      </c>
      <c r="I94" s="15">
        <v>5</v>
      </c>
      <c r="K94" t="s">
        <v>972</v>
      </c>
      <c r="L94" t="s">
        <v>590</v>
      </c>
    </row>
    <row r="95" spans="1:12">
      <c r="A95" t="s">
        <v>974</v>
      </c>
      <c r="B95" s="15">
        <v>10</v>
      </c>
      <c r="C95" s="15">
        <v>10</v>
      </c>
      <c r="D95" s="15">
        <v>8</v>
      </c>
      <c r="E95" s="15">
        <v>7</v>
      </c>
      <c r="F95" s="15">
        <v>6</v>
      </c>
      <c r="G95" s="15">
        <v>8</v>
      </c>
      <c r="H95" s="15">
        <v>3</v>
      </c>
      <c r="I95" s="15">
        <v>3</v>
      </c>
      <c r="K95" t="s">
        <v>972</v>
      </c>
      <c r="L95" t="s">
        <v>619</v>
      </c>
    </row>
    <row r="96" spans="1:12">
      <c r="A96" t="s">
        <v>974</v>
      </c>
      <c r="B96" s="15">
        <v>10</v>
      </c>
      <c r="C96" s="15">
        <v>10</v>
      </c>
      <c r="D96" s="15">
        <v>10</v>
      </c>
      <c r="E96" s="15">
        <v>10</v>
      </c>
      <c r="F96" s="15">
        <v>10</v>
      </c>
      <c r="G96" s="15">
        <v>10</v>
      </c>
      <c r="H96" s="15">
        <v>1</v>
      </c>
      <c r="I96" s="15">
        <v>10</v>
      </c>
      <c r="K96" t="s">
        <v>972</v>
      </c>
      <c r="L96" t="s">
        <v>559</v>
      </c>
    </row>
    <row r="97" spans="1:12">
      <c r="A97" t="s">
        <v>974</v>
      </c>
      <c r="B97" s="15">
        <v>10</v>
      </c>
      <c r="C97" s="15">
        <v>10</v>
      </c>
      <c r="D97" s="15">
        <v>10</v>
      </c>
      <c r="E97" s="15">
        <v>1</v>
      </c>
      <c r="F97" s="15">
        <v>10</v>
      </c>
      <c r="G97" s="15">
        <v>10</v>
      </c>
      <c r="H97" s="15">
        <v>1</v>
      </c>
      <c r="I97" s="15">
        <v>1</v>
      </c>
      <c r="K97" t="s">
        <v>954</v>
      </c>
      <c r="L97" t="s">
        <v>551</v>
      </c>
    </row>
    <row r="98" spans="1:12">
      <c r="A98" t="s">
        <v>974</v>
      </c>
      <c r="B98" s="15">
        <v>10</v>
      </c>
      <c r="C98" s="15">
        <v>9</v>
      </c>
      <c r="D98" s="15">
        <v>9</v>
      </c>
      <c r="E98" s="15">
        <v>9</v>
      </c>
      <c r="F98" s="15">
        <v>10</v>
      </c>
      <c r="G98" s="15">
        <v>10</v>
      </c>
      <c r="H98" s="15">
        <v>1</v>
      </c>
      <c r="I98" s="15">
        <v>10</v>
      </c>
    </row>
    <row r="99" spans="1:12">
      <c r="A99" t="s">
        <v>974</v>
      </c>
      <c r="B99" s="15">
        <v>10</v>
      </c>
      <c r="C99" s="15">
        <v>1</v>
      </c>
      <c r="D99" s="15">
        <v>10</v>
      </c>
      <c r="E99" s="15">
        <v>8</v>
      </c>
      <c r="F99" s="15">
        <v>10</v>
      </c>
      <c r="G99" s="15">
        <v>10</v>
      </c>
      <c r="H99" s="15">
        <v>1</v>
      </c>
      <c r="I99" s="15">
        <v>1</v>
      </c>
    </row>
    <row r="100" spans="1:12">
      <c r="A100" t="s">
        <v>954</v>
      </c>
      <c r="B100" s="15">
        <v>10</v>
      </c>
      <c r="C100" s="15">
        <v>10</v>
      </c>
      <c r="D100" s="15">
        <v>8</v>
      </c>
      <c r="E100" s="15">
        <v>3</v>
      </c>
      <c r="F100" s="15">
        <v>2</v>
      </c>
      <c r="G100" s="15">
        <v>2</v>
      </c>
      <c r="H100" s="15">
        <v>1</v>
      </c>
      <c r="I100" s="15">
        <v>1</v>
      </c>
    </row>
    <row r="101" spans="1:12">
      <c r="A101" t="s">
        <v>972</v>
      </c>
      <c r="B101" s="15">
        <v>10</v>
      </c>
      <c r="C101" s="15">
        <v>5</v>
      </c>
      <c r="D101" s="15">
        <v>10</v>
      </c>
      <c r="E101" s="15">
        <v>1</v>
      </c>
      <c r="F101" s="15">
        <v>8</v>
      </c>
      <c r="G101" s="15">
        <v>10</v>
      </c>
      <c r="H101" s="15">
        <v>1</v>
      </c>
      <c r="I101" s="15">
        <v>1</v>
      </c>
    </row>
    <row r="102" spans="1:12">
      <c r="A102" t="s">
        <v>972</v>
      </c>
      <c r="B102" s="15">
        <v>10</v>
      </c>
      <c r="C102" s="15">
        <v>7</v>
      </c>
      <c r="D102" s="15">
        <v>10</v>
      </c>
      <c r="E102" s="15">
        <v>10</v>
      </c>
      <c r="F102" s="15">
        <v>10</v>
      </c>
      <c r="G102" s="15">
        <v>10</v>
      </c>
      <c r="H102" s="15">
        <v>1</v>
      </c>
      <c r="I102" s="15">
        <v>1</v>
      </c>
    </row>
    <row r="103" spans="1:12">
      <c r="A103" t="s">
        <v>973</v>
      </c>
      <c r="B103" s="15">
        <v>10</v>
      </c>
      <c r="C103" s="15">
        <v>1</v>
      </c>
      <c r="D103" s="15">
        <v>5</v>
      </c>
      <c r="E103" s="15">
        <v>1</v>
      </c>
      <c r="F103" s="15">
        <v>1</v>
      </c>
      <c r="G103" s="15">
        <v>5</v>
      </c>
      <c r="H103" s="15">
        <v>1</v>
      </c>
      <c r="I103" s="15">
        <v>1</v>
      </c>
    </row>
    <row r="104" spans="1:12">
      <c r="A104" t="s">
        <v>972</v>
      </c>
      <c r="B104" s="15">
        <v>10</v>
      </c>
      <c r="C104" s="15">
        <v>3</v>
      </c>
      <c r="D104" s="15">
        <v>10</v>
      </c>
      <c r="E104" s="15">
        <v>5</v>
      </c>
      <c r="F104" s="15">
        <v>10</v>
      </c>
      <c r="G104" s="15">
        <v>10</v>
      </c>
      <c r="H104" s="15">
        <v>6</v>
      </c>
      <c r="I104" s="15">
        <v>1</v>
      </c>
    </row>
    <row r="105" spans="1:12">
      <c r="A105" t="s">
        <v>973</v>
      </c>
      <c r="B105" s="15">
        <v>10</v>
      </c>
      <c r="C105" s="15">
        <v>5</v>
      </c>
      <c r="D105" s="15">
        <v>8</v>
      </c>
      <c r="E105" s="15">
        <v>3</v>
      </c>
      <c r="F105" s="15">
        <v>5</v>
      </c>
      <c r="G105" s="15">
        <v>8</v>
      </c>
      <c r="H105" s="15">
        <v>2</v>
      </c>
      <c r="I105" s="15">
        <v>1</v>
      </c>
    </row>
    <row r="106" spans="1:12">
      <c r="A106" t="s">
        <v>973</v>
      </c>
      <c r="B106" s="15">
        <v>10</v>
      </c>
      <c r="C106" s="15">
        <v>7</v>
      </c>
      <c r="D106" s="15">
        <v>9</v>
      </c>
      <c r="E106" s="15">
        <v>7</v>
      </c>
      <c r="F106" s="15">
        <v>6</v>
      </c>
      <c r="G106" s="15">
        <v>9</v>
      </c>
      <c r="H106" s="15">
        <v>3</v>
      </c>
      <c r="I106" s="15">
        <v>1</v>
      </c>
    </row>
    <row r="108" spans="1:12">
      <c r="A108" s="3" t="s">
        <v>1018</v>
      </c>
      <c r="B108" s="39">
        <f t="shared" ref="B108:I108" si="0">(SUM(B4:B107)/103)</f>
        <v>7.6213592233009706</v>
      </c>
      <c r="C108" s="39">
        <f t="shared" si="0"/>
        <v>5.592233009708738</v>
      </c>
      <c r="D108" s="39">
        <f t="shared" si="0"/>
        <v>7.116504854368932</v>
      </c>
      <c r="E108" s="39">
        <f t="shared" si="0"/>
        <v>3.8058252427184467</v>
      </c>
      <c r="F108" s="39">
        <f t="shared" si="0"/>
        <v>7.2135922330097086</v>
      </c>
      <c r="G108" s="39">
        <f t="shared" si="0"/>
        <v>8.1553398058252426</v>
      </c>
      <c r="H108" s="39">
        <f t="shared" si="0"/>
        <v>3.796116504854369</v>
      </c>
      <c r="I108" s="39">
        <f t="shared" si="0"/>
        <v>3.70873786407767</v>
      </c>
    </row>
    <row r="111" spans="1:12">
      <c r="B111" s="3" t="s">
        <v>1084</v>
      </c>
      <c r="C111" s="3" t="s">
        <v>1085</v>
      </c>
      <c r="D111" s="3" t="s">
        <v>1086</v>
      </c>
      <c r="E111" s="3" t="s">
        <v>1087</v>
      </c>
      <c r="F111" s="3" t="s">
        <v>1088</v>
      </c>
      <c r="G111" s="3" t="s">
        <v>1089</v>
      </c>
      <c r="H111" s="3" t="s">
        <v>1090</v>
      </c>
      <c r="I111" s="3" t="s">
        <v>954</v>
      </c>
    </row>
    <row r="112" spans="1:12">
      <c r="A112" t="s">
        <v>974</v>
      </c>
      <c r="B112" s="15">
        <v>3</v>
      </c>
      <c r="C112" s="15">
        <v>5</v>
      </c>
      <c r="D112" s="15">
        <v>6</v>
      </c>
      <c r="E112" s="15">
        <v>4</v>
      </c>
      <c r="F112" s="15">
        <v>9</v>
      </c>
      <c r="G112" s="15">
        <v>10</v>
      </c>
      <c r="H112" s="15">
        <v>2</v>
      </c>
      <c r="I112" s="15">
        <v>1</v>
      </c>
    </row>
    <row r="113" spans="1:9">
      <c r="A113" t="s">
        <v>974</v>
      </c>
      <c r="B113" s="15">
        <v>3</v>
      </c>
      <c r="C113" s="15">
        <v>3</v>
      </c>
      <c r="D113" s="15">
        <v>3</v>
      </c>
      <c r="E113" s="15">
        <v>3</v>
      </c>
      <c r="F113" s="15">
        <v>5</v>
      </c>
      <c r="G113" s="15">
        <v>8</v>
      </c>
      <c r="H113" s="15">
        <v>3</v>
      </c>
      <c r="I113" s="15">
        <v>3</v>
      </c>
    </row>
    <row r="114" spans="1:9">
      <c r="A114" t="s">
        <v>974</v>
      </c>
      <c r="B114" s="15">
        <v>4</v>
      </c>
      <c r="C114" s="15">
        <v>5</v>
      </c>
      <c r="D114" s="15">
        <v>4</v>
      </c>
      <c r="E114" s="15">
        <v>2</v>
      </c>
      <c r="F114" s="15">
        <v>8</v>
      </c>
      <c r="G114" s="15">
        <v>8</v>
      </c>
      <c r="H114" s="15">
        <v>4</v>
      </c>
      <c r="I114" s="15">
        <v>1</v>
      </c>
    </row>
    <row r="115" spans="1:9">
      <c r="A115" t="s">
        <v>974</v>
      </c>
      <c r="B115" s="15">
        <v>4</v>
      </c>
      <c r="C115" s="15">
        <v>7</v>
      </c>
      <c r="D115" s="15">
        <v>7</v>
      </c>
      <c r="E115" s="15">
        <v>5</v>
      </c>
      <c r="F115" s="15">
        <v>9</v>
      </c>
      <c r="G115" s="15">
        <v>9</v>
      </c>
      <c r="H115" s="15">
        <v>1</v>
      </c>
      <c r="I115" s="15">
        <v>1</v>
      </c>
    </row>
    <row r="116" spans="1:9">
      <c r="A116" t="s">
        <v>974</v>
      </c>
      <c r="B116" s="15">
        <v>5</v>
      </c>
      <c r="C116" s="15">
        <v>1</v>
      </c>
      <c r="D116" s="15">
        <v>4</v>
      </c>
      <c r="E116" s="15">
        <v>1</v>
      </c>
      <c r="F116" s="15">
        <v>8</v>
      </c>
      <c r="G116" s="15">
        <v>10</v>
      </c>
      <c r="H116" s="15">
        <v>1</v>
      </c>
      <c r="I116" s="15">
        <v>1</v>
      </c>
    </row>
    <row r="117" spans="1:9">
      <c r="A117" t="s">
        <v>974</v>
      </c>
      <c r="B117" s="15">
        <v>6</v>
      </c>
      <c r="C117" s="15">
        <v>1</v>
      </c>
      <c r="D117" s="15">
        <v>5</v>
      </c>
      <c r="E117" s="15">
        <v>1</v>
      </c>
      <c r="F117" s="15">
        <v>10</v>
      </c>
      <c r="G117" s="15">
        <v>10</v>
      </c>
      <c r="H117" s="15">
        <v>1</v>
      </c>
      <c r="I117" s="15">
        <v>1</v>
      </c>
    </row>
    <row r="118" spans="1:9">
      <c r="A118" t="s">
        <v>974</v>
      </c>
      <c r="B118" s="15">
        <v>7</v>
      </c>
      <c r="C118" s="15">
        <v>6</v>
      </c>
      <c r="D118" s="15">
        <v>8</v>
      </c>
      <c r="E118" s="15">
        <v>2</v>
      </c>
      <c r="F118" s="15">
        <v>8</v>
      </c>
      <c r="G118" s="15">
        <v>9</v>
      </c>
      <c r="H118" s="15">
        <v>7</v>
      </c>
      <c r="I118" s="15">
        <v>7</v>
      </c>
    </row>
    <row r="119" spans="1:9">
      <c r="A119" t="s">
        <v>974</v>
      </c>
      <c r="B119" s="15">
        <v>7</v>
      </c>
      <c r="C119" s="15">
        <v>2</v>
      </c>
      <c r="D119" s="15">
        <v>7</v>
      </c>
      <c r="E119" s="15">
        <v>6</v>
      </c>
      <c r="F119" s="15">
        <v>6</v>
      </c>
      <c r="G119" s="15">
        <v>7</v>
      </c>
      <c r="H119" s="15">
        <v>1</v>
      </c>
      <c r="I119" s="15">
        <v>1</v>
      </c>
    </row>
    <row r="120" spans="1:9">
      <c r="A120" t="s">
        <v>974</v>
      </c>
      <c r="B120" s="15">
        <v>7</v>
      </c>
      <c r="C120" s="15">
        <v>7</v>
      </c>
      <c r="D120" s="15">
        <v>4</v>
      </c>
      <c r="E120" s="15">
        <v>1</v>
      </c>
      <c r="F120" s="15">
        <v>8</v>
      </c>
      <c r="G120" s="15">
        <v>9</v>
      </c>
      <c r="H120" s="15">
        <v>8</v>
      </c>
      <c r="I120" s="15">
        <v>9</v>
      </c>
    </row>
    <row r="121" spans="1:9">
      <c r="A121" t="s">
        <v>974</v>
      </c>
      <c r="B121" s="15">
        <v>8</v>
      </c>
      <c r="C121" s="15">
        <v>5</v>
      </c>
      <c r="D121" s="15">
        <v>8</v>
      </c>
      <c r="E121" s="15">
        <v>5</v>
      </c>
      <c r="F121" s="15">
        <v>7</v>
      </c>
      <c r="G121" s="15">
        <v>9</v>
      </c>
      <c r="H121" s="15">
        <v>6</v>
      </c>
      <c r="I121" s="15">
        <v>1</v>
      </c>
    </row>
    <row r="122" spans="1:9">
      <c r="A122" t="s">
        <v>974</v>
      </c>
      <c r="B122" s="15">
        <v>8</v>
      </c>
      <c r="C122" s="15">
        <v>1</v>
      </c>
      <c r="D122" s="15">
        <v>5</v>
      </c>
      <c r="E122" s="15">
        <v>1</v>
      </c>
      <c r="F122" s="15">
        <v>9</v>
      </c>
      <c r="G122" s="15">
        <v>9</v>
      </c>
      <c r="H122" s="15">
        <v>1</v>
      </c>
      <c r="I122" s="15">
        <v>1</v>
      </c>
    </row>
    <row r="123" spans="1:9">
      <c r="A123" t="s">
        <v>974</v>
      </c>
      <c r="B123" s="15">
        <v>8</v>
      </c>
      <c r="C123" s="15">
        <v>8</v>
      </c>
      <c r="D123" s="15">
        <v>8</v>
      </c>
      <c r="E123" s="15">
        <v>2</v>
      </c>
      <c r="F123" s="15">
        <v>9</v>
      </c>
      <c r="G123" s="15">
        <v>10</v>
      </c>
      <c r="H123" s="15">
        <v>7</v>
      </c>
      <c r="I123" s="15">
        <v>6</v>
      </c>
    </row>
    <row r="124" spans="1:9">
      <c r="A124" t="s">
        <v>974</v>
      </c>
      <c r="B124" s="15">
        <v>8</v>
      </c>
      <c r="C124" s="15">
        <v>3</v>
      </c>
      <c r="D124" s="15">
        <v>5</v>
      </c>
      <c r="E124" s="15">
        <v>3</v>
      </c>
      <c r="F124" s="15">
        <v>5</v>
      </c>
      <c r="G124" s="15">
        <v>8</v>
      </c>
      <c r="H124" s="15">
        <v>1</v>
      </c>
      <c r="I124" s="15">
        <v>1</v>
      </c>
    </row>
    <row r="125" spans="1:9">
      <c r="A125" t="s">
        <v>974</v>
      </c>
      <c r="B125" s="15">
        <v>8</v>
      </c>
      <c r="C125" s="15">
        <v>5</v>
      </c>
      <c r="D125" s="15">
        <v>8</v>
      </c>
      <c r="E125" s="15">
        <v>5</v>
      </c>
      <c r="F125" s="15">
        <v>8</v>
      </c>
      <c r="G125" s="15">
        <v>8</v>
      </c>
      <c r="H125" s="15">
        <v>5</v>
      </c>
      <c r="I125" s="15">
        <v>5</v>
      </c>
    </row>
    <row r="126" spans="1:9">
      <c r="A126" t="s">
        <v>974</v>
      </c>
      <c r="B126" s="15">
        <v>8</v>
      </c>
      <c r="C126" s="15">
        <v>8</v>
      </c>
      <c r="D126" s="15">
        <v>8</v>
      </c>
      <c r="E126" s="15">
        <v>4</v>
      </c>
      <c r="F126" s="15">
        <v>8</v>
      </c>
      <c r="G126" s="15">
        <v>10</v>
      </c>
      <c r="H126" s="15">
        <v>6</v>
      </c>
      <c r="I126" s="15">
        <v>4</v>
      </c>
    </row>
    <row r="127" spans="1:9">
      <c r="A127" t="s">
        <v>974</v>
      </c>
      <c r="B127" s="15">
        <v>8</v>
      </c>
      <c r="C127" s="15">
        <v>6</v>
      </c>
      <c r="D127" s="15">
        <v>8</v>
      </c>
      <c r="E127" s="15">
        <v>4</v>
      </c>
      <c r="F127" s="15">
        <v>4</v>
      </c>
      <c r="G127" s="15">
        <v>8</v>
      </c>
      <c r="H127" s="15">
        <v>5</v>
      </c>
      <c r="I127" s="15">
        <v>4</v>
      </c>
    </row>
    <row r="128" spans="1:9">
      <c r="A128" t="s">
        <v>974</v>
      </c>
      <c r="B128" s="15">
        <v>9</v>
      </c>
      <c r="C128" s="15">
        <v>7</v>
      </c>
      <c r="D128" s="15">
        <v>7</v>
      </c>
      <c r="E128" s="15">
        <v>5</v>
      </c>
      <c r="F128" s="15">
        <v>9</v>
      </c>
      <c r="G128" s="15">
        <v>9</v>
      </c>
      <c r="H128" s="15">
        <v>1</v>
      </c>
      <c r="I128" s="15">
        <v>1</v>
      </c>
    </row>
    <row r="129" spans="1:9">
      <c r="A129" t="s">
        <v>974</v>
      </c>
      <c r="B129" s="15">
        <v>9</v>
      </c>
      <c r="C129" s="15">
        <v>9</v>
      </c>
      <c r="D129" s="15">
        <v>7</v>
      </c>
      <c r="E129" s="15">
        <v>4</v>
      </c>
      <c r="F129" s="15">
        <v>9</v>
      </c>
      <c r="G129" s="15">
        <v>10</v>
      </c>
      <c r="H129" s="15">
        <v>2</v>
      </c>
      <c r="I129" s="15">
        <v>6</v>
      </c>
    </row>
    <row r="130" spans="1:9">
      <c r="A130" t="s">
        <v>974</v>
      </c>
      <c r="B130" s="15">
        <v>9</v>
      </c>
      <c r="C130" s="15">
        <v>8</v>
      </c>
      <c r="D130" s="15">
        <v>9</v>
      </c>
      <c r="E130" s="15">
        <v>7</v>
      </c>
      <c r="F130" s="15">
        <v>7</v>
      </c>
      <c r="G130" s="15">
        <v>9</v>
      </c>
      <c r="H130" s="15">
        <v>6</v>
      </c>
      <c r="I130" s="15">
        <v>9</v>
      </c>
    </row>
    <row r="131" spans="1:9">
      <c r="A131" t="s">
        <v>974</v>
      </c>
      <c r="B131" s="15">
        <v>9</v>
      </c>
      <c r="C131" s="15">
        <v>8</v>
      </c>
      <c r="D131" s="15">
        <v>5</v>
      </c>
      <c r="E131" s="15">
        <v>8</v>
      </c>
      <c r="F131" s="15">
        <v>6</v>
      </c>
      <c r="G131" s="15">
        <v>7</v>
      </c>
      <c r="H131" s="15">
        <v>1</v>
      </c>
      <c r="I131" s="15">
        <v>1</v>
      </c>
    </row>
    <row r="132" spans="1:9">
      <c r="A132" t="s">
        <v>974</v>
      </c>
      <c r="B132" s="15">
        <v>9</v>
      </c>
      <c r="C132" s="15">
        <v>6</v>
      </c>
      <c r="D132" s="15">
        <v>8</v>
      </c>
      <c r="E132" s="15">
        <v>2</v>
      </c>
      <c r="F132" s="15">
        <v>7</v>
      </c>
      <c r="G132" s="15">
        <v>7</v>
      </c>
      <c r="H132" s="15">
        <v>6</v>
      </c>
      <c r="I132" s="15">
        <v>7</v>
      </c>
    </row>
    <row r="133" spans="1:9">
      <c r="A133" t="s">
        <v>974</v>
      </c>
      <c r="B133" s="15">
        <v>9</v>
      </c>
      <c r="C133" s="15">
        <v>5</v>
      </c>
      <c r="D133" s="15">
        <v>2</v>
      </c>
      <c r="E133" s="15">
        <v>1</v>
      </c>
      <c r="F133" s="15">
        <v>7</v>
      </c>
      <c r="G133" s="15">
        <v>6</v>
      </c>
      <c r="H133" s="15">
        <v>1</v>
      </c>
      <c r="I133" s="15">
        <v>9</v>
      </c>
    </row>
    <row r="134" spans="1:9">
      <c r="A134" t="s">
        <v>974</v>
      </c>
      <c r="B134" s="15">
        <v>10</v>
      </c>
      <c r="C134" s="15">
        <v>3</v>
      </c>
      <c r="D134" s="15">
        <v>10</v>
      </c>
      <c r="E134" s="15">
        <v>8</v>
      </c>
      <c r="F134" s="15">
        <v>10</v>
      </c>
      <c r="G134" s="15">
        <v>8</v>
      </c>
      <c r="H134" s="15">
        <v>9</v>
      </c>
      <c r="I134" s="15">
        <v>3</v>
      </c>
    </row>
    <row r="135" spans="1:9">
      <c r="A135" t="s">
        <v>974</v>
      </c>
      <c r="B135" s="15">
        <v>10</v>
      </c>
      <c r="C135" s="15">
        <v>3</v>
      </c>
      <c r="D135" s="15">
        <v>10</v>
      </c>
      <c r="E135" s="15">
        <v>1</v>
      </c>
      <c r="F135" s="15">
        <v>8</v>
      </c>
      <c r="G135" s="15">
        <v>10</v>
      </c>
      <c r="H135" s="15">
        <v>1</v>
      </c>
      <c r="I135" s="15">
        <v>1</v>
      </c>
    </row>
    <row r="136" spans="1:9">
      <c r="A136" t="s">
        <v>974</v>
      </c>
      <c r="B136" s="15">
        <v>10</v>
      </c>
      <c r="C136" s="15">
        <v>10</v>
      </c>
      <c r="D136" s="15">
        <v>7</v>
      </c>
      <c r="E136" s="15">
        <v>2</v>
      </c>
      <c r="F136" s="15">
        <v>8</v>
      </c>
      <c r="G136" s="15">
        <v>10</v>
      </c>
      <c r="H136" s="15">
        <v>7</v>
      </c>
      <c r="I136" s="15">
        <v>5</v>
      </c>
    </row>
    <row r="137" spans="1:9">
      <c r="A137" t="s">
        <v>974</v>
      </c>
      <c r="B137" s="15">
        <v>10</v>
      </c>
      <c r="C137" s="15">
        <v>10</v>
      </c>
      <c r="D137" s="15">
        <v>8</v>
      </c>
      <c r="E137" s="15">
        <v>7</v>
      </c>
      <c r="F137" s="15">
        <v>6</v>
      </c>
      <c r="G137" s="15">
        <v>8</v>
      </c>
      <c r="H137" s="15">
        <v>3</v>
      </c>
      <c r="I137" s="15">
        <v>3</v>
      </c>
    </row>
    <row r="138" spans="1:9">
      <c r="A138" t="s">
        <v>974</v>
      </c>
      <c r="B138" s="15">
        <v>10</v>
      </c>
      <c r="C138" s="15">
        <v>10</v>
      </c>
      <c r="D138" s="15">
        <v>10</v>
      </c>
      <c r="E138" s="15">
        <v>10</v>
      </c>
      <c r="F138" s="15">
        <v>10</v>
      </c>
      <c r="G138" s="15">
        <v>10</v>
      </c>
      <c r="H138" s="15">
        <v>1</v>
      </c>
      <c r="I138" s="15">
        <v>10</v>
      </c>
    </row>
    <row r="139" spans="1:9">
      <c r="A139" t="s">
        <v>974</v>
      </c>
      <c r="B139" s="15">
        <v>10</v>
      </c>
      <c r="C139" s="15">
        <v>10</v>
      </c>
      <c r="D139" s="15">
        <v>10</v>
      </c>
      <c r="E139" s="15">
        <v>1</v>
      </c>
      <c r="F139" s="15">
        <v>10</v>
      </c>
      <c r="G139" s="15">
        <v>10</v>
      </c>
      <c r="H139" s="15">
        <v>1</v>
      </c>
      <c r="I139" s="15">
        <v>1</v>
      </c>
    </row>
    <row r="140" spans="1:9">
      <c r="A140" t="s">
        <v>974</v>
      </c>
      <c r="B140" s="15">
        <v>10</v>
      </c>
      <c r="C140" s="15">
        <v>9</v>
      </c>
      <c r="D140" s="15">
        <v>9</v>
      </c>
      <c r="E140" s="15">
        <v>9</v>
      </c>
      <c r="F140" s="15">
        <v>10</v>
      </c>
      <c r="G140" s="15">
        <v>10</v>
      </c>
      <c r="H140" s="15">
        <v>1</v>
      </c>
      <c r="I140" s="15">
        <v>10</v>
      </c>
    </row>
    <row r="141" spans="1:9">
      <c r="A141" t="s">
        <v>974</v>
      </c>
      <c r="B141" s="15">
        <v>10</v>
      </c>
      <c r="C141" s="15">
        <v>1</v>
      </c>
      <c r="D141" s="15">
        <v>10</v>
      </c>
      <c r="E141" s="15">
        <v>8</v>
      </c>
      <c r="F141" s="15">
        <v>10</v>
      </c>
      <c r="G141" s="15">
        <v>10</v>
      </c>
      <c r="H141" s="15">
        <v>1</v>
      </c>
      <c r="I141" s="15">
        <v>1</v>
      </c>
    </row>
    <row r="142" spans="1:9">
      <c r="A142" t="s">
        <v>1093</v>
      </c>
      <c r="B142" s="39">
        <f t="shared" ref="B142:I142" si="1">(SUM(B112:B141)/30)</f>
        <v>7.8666666666666663</v>
      </c>
      <c r="C142" s="39">
        <f t="shared" si="1"/>
        <v>5.7333333333333334</v>
      </c>
      <c r="D142" s="39">
        <f t="shared" si="1"/>
        <v>7</v>
      </c>
      <c r="E142" s="39">
        <f t="shared" si="1"/>
        <v>4.0666666666666664</v>
      </c>
      <c r="F142" s="39">
        <f t="shared" si="1"/>
        <v>7.9333333333333336</v>
      </c>
      <c r="G142" s="39">
        <f t="shared" si="1"/>
        <v>8.8666666666666671</v>
      </c>
      <c r="H142" s="39">
        <f t="shared" si="1"/>
        <v>3.3333333333333335</v>
      </c>
      <c r="I142" s="39">
        <f t="shared" si="1"/>
        <v>3.8</v>
      </c>
    </row>
    <row r="143" spans="1:9">
      <c r="B143" s="15"/>
      <c r="C143" s="15"/>
      <c r="D143" s="15"/>
      <c r="E143" s="15"/>
      <c r="F143" s="15"/>
      <c r="G143" s="15"/>
      <c r="H143" s="15"/>
      <c r="I143" s="15"/>
    </row>
    <row r="144" spans="1:9">
      <c r="B144" s="3" t="s">
        <v>1084</v>
      </c>
      <c r="C144" s="3" t="s">
        <v>1085</v>
      </c>
      <c r="D144" s="3" t="s">
        <v>1086</v>
      </c>
      <c r="E144" s="3" t="s">
        <v>1087</v>
      </c>
      <c r="F144" s="3" t="s">
        <v>1088</v>
      </c>
      <c r="G144" s="3" t="s">
        <v>1089</v>
      </c>
      <c r="H144" s="3" t="s">
        <v>1090</v>
      </c>
      <c r="I144" s="3" t="s">
        <v>954</v>
      </c>
    </row>
    <row r="145" spans="1:9">
      <c r="A145" t="s">
        <v>973</v>
      </c>
      <c r="B145" s="15">
        <v>8</v>
      </c>
      <c r="C145" s="15">
        <v>6</v>
      </c>
      <c r="D145" s="15">
        <v>8</v>
      </c>
      <c r="E145" s="15">
        <v>3</v>
      </c>
      <c r="F145" s="15">
        <v>8</v>
      </c>
      <c r="G145" s="15">
        <v>10</v>
      </c>
      <c r="H145" s="15">
        <v>7</v>
      </c>
      <c r="I145" s="15">
        <v>7</v>
      </c>
    </row>
    <row r="146" spans="1:9">
      <c r="A146" t="s">
        <v>973</v>
      </c>
      <c r="B146" s="15">
        <v>9</v>
      </c>
      <c r="C146" s="15">
        <v>8</v>
      </c>
      <c r="D146" s="15">
        <v>8</v>
      </c>
      <c r="E146" s="15">
        <v>4</v>
      </c>
      <c r="F146" s="15">
        <v>8</v>
      </c>
      <c r="G146" s="15">
        <v>8</v>
      </c>
      <c r="H146" s="15">
        <v>4</v>
      </c>
      <c r="I146" s="15">
        <v>4</v>
      </c>
    </row>
    <row r="147" spans="1:9">
      <c r="A147" t="s">
        <v>973</v>
      </c>
      <c r="B147" s="15">
        <v>10</v>
      </c>
      <c r="C147" s="15">
        <v>8</v>
      </c>
      <c r="D147" s="15">
        <v>10</v>
      </c>
      <c r="E147" s="15">
        <v>2</v>
      </c>
      <c r="F147" s="15">
        <v>5</v>
      </c>
      <c r="G147" s="15">
        <v>10</v>
      </c>
      <c r="H147" s="15">
        <v>2</v>
      </c>
      <c r="I147" s="15">
        <v>1</v>
      </c>
    </row>
    <row r="148" spans="1:9">
      <c r="A148" t="s">
        <v>973</v>
      </c>
      <c r="B148" s="15">
        <v>10</v>
      </c>
      <c r="C148" s="15">
        <v>5</v>
      </c>
      <c r="D148" s="15">
        <v>10</v>
      </c>
      <c r="E148" s="15">
        <v>5</v>
      </c>
      <c r="F148" s="15">
        <v>2</v>
      </c>
      <c r="G148" s="15">
        <v>10</v>
      </c>
      <c r="H148" s="15">
        <v>2</v>
      </c>
      <c r="I148" s="15">
        <v>1</v>
      </c>
    </row>
    <row r="149" spans="1:9">
      <c r="A149" t="s">
        <v>973</v>
      </c>
      <c r="B149" s="15">
        <v>10</v>
      </c>
      <c r="C149" s="15">
        <v>1</v>
      </c>
      <c r="D149" s="15">
        <v>5</v>
      </c>
      <c r="E149" s="15">
        <v>1</v>
      </c>
      <c r="F149" s="15">
        <v>1</v>
      </c>
      <c r="G149" s="15">
        <v>5</v>
      </c>
      <c r="H149" s="15">
        <v>1</v>
      </c>
      <c r="I149" s="15">
        <v>1</v>
      </c>
    </row>
    <row r="150" spans="1:9">
      <c r="A150" t="s">
        <v>973</v>
      </c>
      <c r="B150" s="15">
        <v>10</v>
      </c>
      <c r="C150" s="15">
        <v>5</v>
      </c>
      <c r="D150" s="15">
        <v>8</v>
      </c>
      <c r="E150" s="15">
        <v>3</v>
      </c>
      <c r="F150" s="15">
        <v>5</v>
      </c>
      <c r="G150" s="15">
        <v>8</v>
      </c>
      <c r="H150" s="15">
        <v>2</v>
      </c>
      <c r="I150" s="15">
        <v>1</v>
      </c>
    </row>
    <row r="151" spans="1:9">
      <c r="A151" t="s">
        <v>973</v>
      </c>
      <c r="B151" s="15">
        <v>10</v>
      </c>
      <c r="C151" s="15">
        <v>7</v>
      </c>
      <c r="D151" s="15">
        <v>9</v>
      </c>
      <c r="E151" s="15">
        <v>7</v>
      </c>
      <c r="F151" s="15">
        <v>6</v>
      </c>
      <c r="G151" s="15">
        <v>9</v>
      </c>
      <c r="H151" s="15">
        <v>3</v>
      </c>
      <c r="I151" s="15">
        <v>1</v>
      </c>
    </row>
    <row r="152" spans="1:9">
      <c r="B152" s="39">
        <f t="shared" ref="B152:I152" si="2">(SUM(B145:B151)/7)</f>
        <v>9.5714285714285712</v>
      </c>
      <c r="C152" s="39">
        <f t="shared" si="2"/>
        <v>5.7142857142857144</v>
      </c>
      <c r="D152" s="39">
        <f t="shared" si="2"/>
        <v>8.2857142857142865</v>
      </c>
      <c r="E152" s="39">
        <f t="shared" si="2"/>
        <v>3.5714285714285716</v>
      </c>
      <c r="F152" s="39">
        <f t="shared" si="2"/>
        <v>5</v>
      </c>
      <c r="G152" s="39">
        <f t="shared" si="2"/>
        <v>8.5714285714285712</v>
      </c>
      <c r="H152" s="39">
        <f t="shared" si="2"/>
        <v>3</v>
      </c>
      <c r="I152" s="39">
        <f t="shared" si="2"/>
        <v>2.2857142857142856</v>
      </c>
    </row>
    <row r="153" spans="1:9">
      <c r="B153" s="15"/>
      <c r="C153" s="15"/>
      <c r="D153" s="15"/>
      <c r="E153" s="15"/>
      <c r="F153" s="15"/>
      <c r="G153" s="15"/>
      <c r="H153" s="15"/>
      <c r="I153" s="15"/>
    </row>
    <row r="154" spans="1:9">
      <c r="B154" s="3" t="s">
        <v>1084</v>
      </c>
      <c r="C154" s="3" t="s">
        <v>1085</v>
      </c>
      <c r="D154" s="3" t="s">
        <v>1086</v>
      </c>
      <c r="E154" s="3" t="s">
        <v>1087</v>
      </c>
      <c r="F154" s="3" t="s">
        <v>1088</v>
      </c>
      <c r="G154" s="3" t="s">
        <v>1089</v>
      </c>
      <c r="H154" s="3" t="s">
        <v>1090</v>
      </c>
      <c r="I154" s="3" t="s">
        <v>954</v>
      </c>
    </row>
    <row r="155" spans="1:9">
      <c r="A155" t="s">
        <v>972</v>
      </c>
      <c r="B155" s="15">
        <v>1</v>
      </c>
      <c r="C155" s="15">
        <v>1</v>
      </c>
      <c r="D155" s="15">
        <v>10</v>
      </c>
      <c r="E155" s="15">
        <v>1</v>
      </c>
      <c r="F155" s="15">
        <v>9</v>
      </c>
      <c r="G155" s="15">
        <v>10</v>
      </c>
      <c r="H155" s="15">
        <v>1</v>
      </c>
      <c r="I155" s="15">
        <v>1</v>
      </c>
    </row>
    <row r="156" spans="1:9">
      <c r="A156" t="s">
        <v>972</v>
      </c>
      <c r="B156" s="15">
        <v>1</v>
      </c>
      <c r="C156" s="15">
        <v>8</v>
      </c>
      <c r="D156" s="15">
        <v>3</v>
      </c>
      <c r="E156" s="15">
        <v>1</v>
      </c>
      <c r="F156" s="15">
        <v>1</v>
      </c>
      <c r="G156" s="15">
        <v>8</v>
      </c>
      <c r="H156" s="15">
        <v>2</v>
      </c>
      <c r="I156" s="15">
        <v>1</v>
      </c>
    </row>
    <row r="157" spans="1:9">
      <c r="A157" t="s">
        <v>972</v>
      </c>
      <c r="B157" s="15">
        <v>2</v>
      </c>
      <c r="C157" s="15">
        <v>2</v>
      </c>
      <c r="D157" s="15">
        <v>8</v>
      </c>
      <c r="E157" s="15">
        <v>4</v>
      </c>
      <c r="F157" s="15">
        <v>8</v>
      </c>
      <c r="G157" s="15">
        <v>8</v>
      </c>
      <c r="H157" s="15">
        <v>2</v>
      </c>
      <c r="I157" s="15">
        <v>1</v>
      </c>
    </row>
    <row r="158" spans="1:9">
      <c r="A158" t="s">
        <v>972</v>
      </c>
      <c r="B158" s="15">
        <v>2</v>
      </c>
      <c r="C158" s="15">
        <v>2</v>
      </c>
      <c r="D158" s="15">
        <v>4</v>
      </c>
      <c r="E158" s="15">
        <v>1</v>
      </c>
      <c r="F158" s="15">
        <v>7</v>
      </c>
      <c r="G158" s="15">
        <v>6</v>
      </c>
      <c r="H158" s="15">
        <v>2</v>
      </c>
      <c r="I158" s="15">
        <v>7</v>
      </c>
    </row>
    <row r="159" spans="1:9">
      <c r="A159" t="s">
        <v>972</v>
      </c>
      <c r="B159" s="15">
        <v>3</v>
      </c>
      <c r="C159" s="15">
        <v>3</v>
      </c>
      <c r="D159" s="15">
        <v>3</v>
      </c>
      <c r="E159" s="15">
        <v>2</v>
      </c>
      <c r="F159" s="15">
        <v>5</v>
      </c>
      <c r="G159" s="15">
        <v>6</v>
      </c>
      <c r="H159" s="15">
        <v>4</v>
      </c>
      <c r="I159" s="15">
        <v>1</v>
      </c>
    </row>
    <row r="160" spans="1:9">
      <c r="A160" t="s">
        <v>972</v>
      </c>
      <c r="B160" s="15">
        <v>3</v>
      </c>
      <c r="C160" s="15">
        <v>2</v>
      </c>
      <c r="D160" s="15">
        <v>6</v>
      </c>
      <c r="E160" s="15">
        <v>7</v>
      </c>
      <c r="F160" s="15">
        <v>8</v>
      </c>
      <c r="G160" s="15">
        <v>8</v>
      </c>
      <c r="H160" s="15">
        <v>1</v>
      </c>
      <c r="I160" s="15">
        <v>1</v>
      </c>
    </row>
    <row r="161" spans="1:9">
      <c r="A161" t="s">
        <v>972</v>
      </c>
      <c r="B161" s="15">
        <v>4</v>
      </c>
      <c r="C161" s="15">
        <v>5</v>
      </c>
      <c r="D161" s="15">
        <v>6</v>
      </c>
      <c r="E161" s="15">
        <v>5</v>
      </c>
      <c r="F161" s="15">
        <v>8</v>
      </c>
      <c r="G161" s="15">
        <v>8</v>
      </c>
      <c r="H161" s="15">
        <v>4</v>
      </c>
      <c r="I161" s="15">
        <v>5</v>
      </c>
    </row>
    <row r="162" spans="1:9">
      <c r="A162" t="s">
        <v>972</v>
      </c>
      <c r="B162" s="15">
        <v>5</v>
      </c>
      <c r="C162" s="15">
        <v>4</v>
      </c>
      <c r="D162" s="15">
        <v>6</v>
      </c>
      <c r="E162" s="15">
        <v>1</v>
      </c>
      <c r="F162" s="15">
        <v>1</v>
      </c>
      <c r="G162" s="15">
        <v>10</v>
      </c>
      <c r="H162" s="15">
        <v>3</v>
      </c>
      <c r="I162" s="15">
        <v>8</v>
      </c>
    </row>
    <row r="163" spans="1:9">
      <c r="A163" t="s">
        <v>972</v>
      </c>
      <c r="B163" s="15">
        <v>5</v>
      </c>
      <c r="C163" s="15">
        <v>10</v>
      </c>
      <c r="D163" s="15">
        <v>6</v>
      </c>
      <c r="E163" s="15">
        <v>4</v>
      </c>
      <c r="F163" s="15">
        <v>5</v>
      </c>
      <c r="G163" s="15">
        <v>3</v>
      </c>
      <c r="H163" s="15">
        <v>1</v>
      </c>
      <c r="I163" s="15">
        <v>1</v>
      </c>
    </row>
    <row r="164" spans="1:9">
      <c r="A164" t="s">
        <v>972</v>
      </c>
      <c r="B164" s="15">
        <v>5</v>
      </c>
      <c r="C164" s="15">
        <v>2</v>
      </c>
      <c r="D164" s="15">
        <v>2</v>
      </c>
      <c r="E164" s="15">
        <v>2</v>
      </c>
      <c r="F164" s="15">
        <v>7</v>
      </c>
      <c r="G164" s="15">
        <v>8</v>
      </c>
      <c r="H164" s="15">
        <v>2</v>
      </c>
      <c r="I164" s="15">
        <v>6</v>
      </c>
    </row>
    <row r="165" spans="1:9">
      <c r="A165" t="s">
        <v>972</v>
      </c>
      <c r="B165" s="15">
        <v>6</v>
      </c>
      <c r="C165" s="15">
        <v>4</v>
      </c>
      <c r="D165" s="15">
        <v>8</v>
      </c>
      <c r="E165" s="15">
        <v>4</v>
      </c>
      <c r="F165" s="15">
        <v>8</v>
      </c>
      <c r="G165" s="15">
        <v>8</v>
      </c>
      <c r="H165" s="15">
        <v>6</v>
      </c>
      <c r="I165" s="15">
        <v>8</v>
      </c>
    </row>
    <row r="166" spans="1:9">
      <c r="A166" t="s">
        <v>972</v>
      </c>
      <c r="B166" s="15">
        <v>6</v>
      </c>
      <c r="C166" s="15">
        <v>1</v>
      </c>
      <c r="D166" s="15">
        <v>5</v>
      </c>
      <c r="E166" s="15">
        <v>1</v>
      </c>
      <c r="F166" s="15">
        <v>5</v>
      </c>
      <c r="G166" s="15">
        <v>5</v>
      </c>
      <c r="H166" s="15">
        <v>1</v>
      </c>
      <c r="I166" s="15">
        <v>10</v>
      </c>
    </row>
    <row r="167" spans="1:9">
      <c r="A167" t="s">
        <v>972</v>
      </c>
      <c r="B167" s="15">
        <v>6</v>
      </c>
      <c r="C167" s="15">
        <v>6</v>
      </c>
      <c r="D167" s="15">
        <v>8</v>
      </c>
      <c r="E167" s="15">
        <v>1</v>
      </c>
      <c r="F167" s="15">
        <v>8</v>
      </c>
      <c r="G167" s="15">
        <v>8</v>
      </c>
      <c r="H167" s="15">
        <v>1</v>
      </c>
      <c r="I167" s="15">
        <v>1</v>
      </c>
    </row>
    <row r="168" spans="1:9">
      <c r="A168" t="s">
        <v>972</v>
      </c>
      <c r="B168" s="15">
        <v>6</v>
      </c>
      <c r="C168" s="15">
        <v>6</v>
      </c>
      <c r="D168" s="15">
        <v>8</v>
      </c>
      <c r="E168" s="15">
        <v>6</v>
      </c>
      <c r="F168" s="15">
        <v>8</v>
      </c>
      <c r="G168" s="15">
        <v>10</v>
      </c>
      <c r="H168" s="15">
        <v>1</v>
      </c>
      <c r="I168" s="15">
        <v>1</v>
      </c>
    </row>
    <row r="169" spans="1:9">
      <c r="A169" t="s">
        <v>972</v>
      </c>
      <c r="B169" s="15">
        <v>6</v>
      </c>
      <c r="C169" s="15">
        <v>2</v>
      </c>
      <c r="D169" s="15">
        <v>2</v>
      </c>
      <c r="E169" s="15">
        <v>1</v>
      </c>
      <c r="F169" s="15">
        <v>1</v>
      </c>
      <c r="G169" s="15">
        <v>3</v>
      </c>
      <c r="H169" s="15">
        <v>1</v>
      </c>
      <c r="I169" s="15">
        <v>8</v>
      </c>
    </row>
    <row r="170" spans="1:9">
      <c r="A170" t="s">
        <v>972</v>
      </c>
      <c r="B170" s="15">
        <v>7</v>
      </c>
      <c r="C170" s="15">
        <v>7</v>
      </c>
      <c r="D170" s="15">
        <v>9</v>
      </c>
      <c r="E170" s="15">
        <v>7</v>
      </c>
      <c r="F170" s="15">
        <v>7</v>
      </c>
      <c r="G170" s="15">
        <v>9</v>
      </c>
      <c r="H170" s="15">
        <v>5</v>
      </c>
      <c r="I170" s="15">
        <v>7</v>
      </c>
    </row>
    <row r="171" spans="1:9">
      <c r="A171" t="s">
        <v>972</v>
      </c>
      <c r="B171" s="15">
        <v>7</v>
      </c>
      <c r="C171" s="15">
        <v>6</v>
      </c>
      <c r="D171" s="15">
        <v>6</v>
      </c>
      <c r="E171" s="15">
        <v>4</v>
      </c>
      <c r="F171" s="15">
        <v>8</v>
      </c>
      <c r="G171" s="15">
        <v>1</v>
      </c>
      <c r="H171" s="15">
        <v>7</v>
      </c>
      <c r="I171" s="15">
        <v>9</v>
      </c>
    </row>
    <row r="172" spans="1:9">
      <c r="A172" t="s">
        <v>972</v>
      </c>
      <c r="B172" s="15">
        <v>7</v>
      </c>
      <c r="C172" s="15">
        <v>2</v>
      </c>
      <c r="D172" s="15">
        <v>8</v>
      </c>
      <c r="E172" s="15">
        <v>2</v>
      </c>
      <c r="F172" s="15">
        <v>6</v>
      </c>
      <c r="G172" s="15">
        <v>7</v>
      </c>
      <c r="H172" s="15">
        <v>3</v>
      </c>
      <c r="I172" s="15">
        <v>1</v>
      </c>
    </row>
    <row r="173" spans="1:9">
      <c r="A173" t="s">
        <v>972</v>
      </c>
      <c r="B173" s="15">
        <v>7</v>
      </c>
      <c r="C173" s="15">
        <v>7</v>
      </c>
      <c r="D173" s="15">
        <v>4</v>
      </c>
      <c r="E173" s="15">
        <v>3</v>
      </c>
      <c r="F173" s="15">
        <v>7</v>
      </c>
      <c r="G173" s="15">
        <v>10</v>
      </c>
      <c r="H173" s="15">
        <v>6</v>
      </c>
      <c r="I173" s="15">
        <v>5</v>
      </c>
    </row>
    <row r="174" spans="1:9">
      <c r="A174" t="s">
        <v>972</v>
      </c>
      <c r="B174" s="15">
        <v>7</v>
      </c>
      <c r="C174" s="15">
        <v>6</v>
      </c>
      <c r="D174" s="15">
        <v>8</v>
      </c>
      <c r="E174" s="15">
        <v>8</v>
      </c>
      <c r="F174" s="15">
        <v>8</v>
      </c>
      <c r="G174" s="15">
        <v>8</v>
      </c>
      <c r="H174" s="15">
        <v>1</v>
      </c>
      <c r="I174" s="15">
        <v>1</v>
      </c>
    </row>
    <row r="175" spans="1:9">
      <c r="A175" t="s">
        <v>972</v>
      </c>
      <c r="B175" s="15">
        <v>7</v>
      </c>
      <c r="C175" s="15">
        <v>7</v>
      </c>
      <c r="D175" s="15">
        <v>7</v>
      </c>
      <c r="E175" s="15">
        <v>5</v>
      </c>
      <c r="F175" s="15">
        <v>7</v>
      </c>
      <c r="G175" s="15">
        <v>8</v>
      </c>
      <c r="H175" s="15">
        <v>6</v>
      </c>
      <c r="I175" s="15">
        <v>5</v>
      </c>
    </row>
    <row r="176" spans="1:9">
      <c r="A176" t="s">
        <v>972</v>
      </c>
      <c r="B176" s="15">
        <v>7</v>
      </c>
      <c r="C176" s="15">
        <v>7</v>
      </c>
      <c r="D176" s="15">
        <v>7</v>
      </c>
      <c r="E176" s="15">
        <v>3</v>
      </c>
      <c r="F176" s="15">
        <v>9</v>
      </c>
      <c r="G176" s="15">
        <v>9</v>
      </c>
      <c r="H176" s="15">
        <v>4</v>
      </c>
      <c r="I176" s="15">
        <v>1</v>
      </c>
    </row>
    <row r="177" spans="1:9">
      <c r="A177" t="s">
        <v>972</v>
      </c>
      <c r="B177" s="15">
        <v>7</v>
      </c>
      <c r="C177" s="15">
        <v>7</v>
      </c>
      <c r="D177" s="15">
        <v>7</v>
      </c>
      <c r="E177" s="15">
        <v>1</v>
      </c>
      <c r="F177" s="15">
        <v>9</v>
      </c>
      <c r="G177" s="15">
        <v>8</v>
      </c>
      <c r="H177" s="15">
        <v>3</v>
      </c>
      <c r="I177" s="15">
        <v>1</v>
      </c>
    </row>
    <row r="178" spans="1:9">
      <c r="A178" t="s">
        <v>972</v>
      </c>
      <c r="B178" s="15">
        <v>7</v>
      </c>
      <c r="C178" s="15">
        <v>1</v>
      </c>
      <c r="D178" s="15">
        <v>6</v>
      </c>
      <c r="E178" s="15">
        <v>1</v>
      </c>
      <c r="F178" s="15">
        <v>6</v>
      </c>
      <c r="G178" s="15">
        <v>1</v>
      </c>
      <c r="H178" s="15">
        <v>9</v>
      </c>
      <c r="I178" s="15">
        <v>1</v>
      </c>
    </row>
    <row r="179" spans="1:9">
      <c r="A179" t="s">
        <v>972</v>
      </c>
      <c r="B179" s="15">
        <v>7</v>
      </c>
      <c r="C179" s="15">
        <v>1</v>
      </c>
      <c r="D179" s="15">
        <v>7</v>
      </c>
      <c r="E179" s="15">
        <v>1</v>
      </c>
      <c r="F179" s="15">
        <v>7</v>
      </c>
      <c r="G179" s="15">
        <v>7</v>
      </c>
      <c r="H179" s="15">
        <v>1</v>
      </c>
      <c r="I179" s="15">
        <v>1</v>
      </c>
    </row>
    <row r="180" spans="1:9">
      <c r="A180" t="s">
        <v>972</v>
      </c>
      <c r="B180" s="15">
        <v>7</v>
      </c>
      <c r="C180" s="15">
        <v>7</v>
      </c>
      <c r="D180" s="15">
        <v>8</v>
      </c>
      <c r="E180" s="15">
        <v>5</v>
      </c>
      <c r="F180" s="15">
        <v>8</v>
      </c>
      <c r="G180" s="15">
        <v>9</v>
      </c>
      <c r="H180" s="15">
        <v>8</v>
      </c>
      <c r="I180" s="15">
        <v>1</v>
      </c>
    </row>
    <row r="181" spans="1:9">
      <c r="A181" t="s">
        <v>972</v>
      </c>
      <c r="B181" s="15">
        <v>7</v>
      </c>
      <c r="C181" s="15">
        <v>6</v>
      </c>
      <c r="D181" s="15">
        <v>7</v>
      </c>
      <c r="E181" s="15">
        <v>5</v>
      </c>
      <c r="F181" s="15">
        <v>8</v>
      </c>
      <c r="G181" s="15">
        <v>9</v>
      </c>
      <c r="H181" s="15">
        <v>1</v>
      </c>
      <c r="I181" s="15">
        <v>1</v>
      </c>
    </row>
    <row r="182" spans="1:9">
      <c r="A182" t="s">
        <v>972</v>
      </c>
      <c r="B182" s="15">
        <v>7</v>
      </c>
      <c r="C182" s="15">
        <v>5</v>
      </c>
      <c r="D182" s="15">
        <v>6</v>
      </c>
      <c r="E182" s="15">
        <v>4</v>
      </c>
      <c r="F182" s="15">
        <v>7</v>
      </c>
      <c r="G182" s="15">
        <v>8</v>
      </c>
      <c r="H182" s="15">
        <v>7</v>
      </c>
      <c r="I182" s="15">
        <v>5</v>
      </c>
    </row>
    <row r="183" spans="1:9">
      <c r="A183" t="s">
        <v>972</v>
      </c>
      <c r="B183" s="15">
        <v>8</v>
      </c>
      <c r="C183" s="15">
        <v>1</v>
      </c>
      <c r="D183" s="15">
        <v>8</v>
      </c>
      <c r="E183" s="15">
        <v>1</v>
      </c>
      <c r="F183" s="15">
        <v>7</v>
      </c>
      <c r="G183" s="15">
        <v>9</v>
      </c>
      <c r="H183" s="15">
        <v>1</v>
      </c>
      <c r="I183" s="15">
        <v>1</v>
      </c>
    </row>
    <row r="184" spans="1:9">
      <c r="A184" t="s">
        <v>972</v>
      </c>
      <c r="B184" s="15">
        <v>8</v>
      </c>
      <c r="C184" s="15">
        <v>1</v>
      </c>
      <c r="D184" s="15">
        <v>3</v>
      </c>
      <c r="E184" s="15">
        <v>1</v>
      </c>
      <c r="F184" s="15">
        <v>8</v>
      </c>
      <c r="G184" s="15">
        <v>10</v>
      </c>
      <c r="H184" s="15">
        <v>8</v>
      </c>
      <c r="I184" s="15">
        <v>1</v>
      </c>
    </row>
    <row r="185" spans="1:9">
      <c r="A185" t="s">
        <v>972</v>
      </c>
      <c r="B185" s="15">
        <v>8</v>
      </c>
      <c r="C185" s="15">
        <v>8</v>
      </c>
      <c r="D185" s="15">
        <v>9</v>
      </c>
      <c r="E185" s="15">
        <v>4</v>
      </c>
      <c r="F185" s="15">
        <v>8</v>
      </c>
      <c r="G185" s="15">
        <v>9</v>
      </c>
      <c r="H185" s="15">
        <v>7</v>
      </c>
      <c r="I185" s="15">
        <v>1</v>
      </c>
    </row>
    <row r="186" spans="1:9">
      <c r="A186" t="s">
        <v>972</v>
      </c>
      <c r="B186" s="15">
        <v>8</v>
      </c>
      <c r="C186" s="15">
        <v>10</v>
      </c>
      <c r="D186" s="15">
        <v>10</v>
      </c>
      <c r="E186" s="15">
        <v>5</v>
      </c>
      <c r="F186" s="15">
        <v>10</v>
      </c>
      <c r="G186" s="15">
        <v>8</v>
      </c>
      <c r="H186" s="15">
        <v>1</v>
      </c>
      <c r="I186" s="15">
        <v>5</v>
      </c>
    </row>
    <row r="187" spans="1:9">
      <c r="A187" t="s">
        <v>972</v>
      </c>
      <c r="B187" s="15">
        <v>8</v>
      </c>
      <c r="C187" s="15">
        <v>8</v>
      </c>
      <c r="D187" s="15">
        <v>8</v>
      </c>
      <c r="E187" s="15">
        <v>2</v>
      </c>
      <c r="F187" s="15">
        <v>8</v>
      </c>
      <c r="G187" s="15">
        <v>8</v>
      </c>
      <c r="H187" s="15">
        <v>2</v>
      </c>
      <c r="I187" s="15">
        <v>8</v>
      </c>
    </row>
    <row r="188" spans="1:9">
      <c r="A188" t="s">
        <v>972</v>
      </c>
      <c r="B188" s="15">
        <v>8</v>
      </c>
      <c r="C188" s="15">
        <v>7</v>
      </c>
      <c r="D188" s="15">
        <v>8</v>
      </c>
      <c r="E188" s="15">
        <v>6</v>
      </c>
      <c r="F188" s="15">
        <v>8</v>
      </c>
      <c r="G188" s="15">
        <v>9</v>
      </c>
      <c r="H188" s="15">
        <v>4</v>
      </c>
      <c r="I188" s="15">
        <v>9</v>
      </c>
    </row>
    <row r="189" spans="1:9">
      <c r="A189" t="s">
        <v>972</v>
      </c>
      <c r="B189" s="15">
        <v>8</v>
      </c>
      <c r="C189" s="15">
        <v>7</v>
      </c>
      <c r="D189" s="15">
        <v>8</v>
      </c>
      <c r="E189" s="15">
        <v>5</v>
      </c>
      <c r="F189" s="15">
        <v>8</v>
      </c>
      <c r="G189" s="15">
        <v>8</v>
      </c>
      <c r="H189" s="15">
        <v>5</v>
      </c>
      <c r="I189" s="15">
        <v>5</v>
      </c>
    </row>
    <row r="190" spans="1:9">
      <c r="A190" t="s">
        <v>972</v>
      </c>
      <c r="B190" s="15">
        <v>8</v>
      </c>
      <c r="C190" s="15">
        <v>7</v>
      </c>
      <c r="D190" s="15">
        <v>5</v>
      </c>
      <c r="E190" s="15">
        <v>1</v>
      </c>
      <c r="F190" s="15">
        <v>7</v>
      </c>
      <c r="G190" s="15">
        <v>2</v>
      </c>
      <c r="H190" s="15">
        <v>5</v>
      </c>
      <c r="I190" s="15">
        <v>7</v>
      </c>
    </row>
    <row r="191" spans="1:9">
      <c r="A191" t="s">
        <v>972</v>
      </c>
      <c r="B191" s="15">
        <v>8</v>
      </c>
      <c r="C191" s="15">
        <v>8</v>
      </c>
      <c r="D191" s="15">
        <v>8</v>
      </c>
      <c r="E191" s="15">
        <v>3</v>
      </c>
      <c r="F191" s="15">
        <v>3</v>
      </c>
      <c r="G191" s="15">
        <v>7</v>
      </c>
      <c r="H191" s="15">
        <v>7</v>
      </c>
      <c r="I191" s="15">
        <v>1</v>
      </c>
    </row>
    <row r="192" spans="1:9">
      <c r="A192" t="s">
        <v>972</v>
      </c>
      <c r="B192" s="15">
        <v>8</v>
      </c>
      <c r="C192" s="15">
        <v>5</v>
      </c>
      <c r="D192" s="15">
        <v>7</v>
      </c>
      <c r="E192" s="15">
        <v>4</v>
      </c>
      <c r="F192" s="15">
        <v>7</v>
      </c>
      <c r="G192" s="15">
        <v>7</v>
      </c>
      <c r="H192" s="15">
        <v>1</v>
      </c>
      <c r="I192" s="15">
        <v>1</v>
      </c>
    </row>
    <row r="193" spans="1:9">
      <c r="A193" t="s">
        <v>972</v>
      </c>
      <c r="B193" s="15">
        <v>8</v>
      </c>
      <c r="C193" s="15">
        <v>7</v>
      </c>
      <c r="D193" s="15">
        <v>8</v>
      </c>
      <c r="E193" s="15">
        <v>7</v>
      </c>
      <c r="F193" s="15">
        <v>7</v>
      </c>
      <c r="G193" s="15">
        <v>9</v>
      </c>
      <c r="H193" s="15">
        <v>7</v>
      </c>
      <c r="I193" s="15">
        <v>5</v>
      </c>
    </row>
    <row r="194" spans="1:9">
      <c r="A194" t="s">
        <v>972</v>
      </c>
      <c r="B194" s="15">
        <v>8</v>
      </c>
      <c r="C194" s="15">
        <v>6</v>
      </c>
      <c r="D194" s="15">
        <v>7</v>
      </c>
      <c r="E194" s="15">
        <v>2</v>
      </c>
      <c r="F194" s="15">
        <v>9</v>
      </c>
      <c r="G194" s="15">
        <v>9</v>
      </c>
      <c r="H194" s="15">
        <v>2</v>
      </c>
      <c r="I194" s="15">
        <v>5</v>
      </c>
    </row>
    <row r="195" spans="1:9">
      <c r="A195" t="s">
        <v>972</v>
      </c>
      <c r="B195" s="15">
        <v>8</v>
      </c>
      <c r="C195" s="15">
        <v>8</v>
      </c>
      <c r="D195" s="15">
        <v>8</v>
      </c>
      <c r="E195" s="15">
        <v>5</v>
      </c>
      <c r="F195" s="15">
        <v>7</v>
      </c>
      <c r="G195" s="15">
        <v>9</v>
      </c>
      <c r="H195" s="15">
        <v>5</v>
      </c>
      <c r="I195" s="15">
        <v>1</v>
      </c>
    </row>
    <row r="196" spans="1:9">
      <c r="A196" t="s">
        <v>972</v>
      </c>
      <c r="B196" s="15">
        <v>8</v>
      </c>
      <c r="C196" s="15">
        <v>7</v>
      </c>
      <c r="D196" s="15">
        <v>8</v>
      </c>
      <c r="E196" s="15">
        <v>5</v>
      </c>
      <c r="F196" s="15">
        <v>9</v>
      </c>
      <c r="G196" s="15">
        <v>9</v>
      </c>
      <c r="H196" s="15">
        <v>8</v>
      </c>
      <c r="I196" s="15">
        <v>5</v>
      </c>
    </row>
    <row r="197" spans="1:9">
      <c r="A197" t="s">
        <v>972</v>
      </c>
      <c r="B197" s="15">
        <v>8</v>
      </c>
      <c r="C197" s="15">
        <v>7</v>
      </c>
      <c r="D197" s="15">
        <v>9</v>
      </c>
      <c r="E197" s="15">
        <v>5</v>
      </c>
      <c r="F197" s="15">
        <v>6</v>
      </c>
      <c r="G197" s="15">
        <v>7</v>
      </c>
      <c r="H197" s="15">
        <v>3</v>
      </c>
      <c r="I197" s="15">
        <v>1</v>
      </c>
    </row>
    <row r="198" spans="1:9">
      <c r="A198" t="s">
        <v>972</v>
      </c>
      <c r="B198" s="15">
        <v>8</v>
      </c>
      <c r="C198" s="15">
        <v>7</v>
      </c>
      <c r="D198" s="15">
        <v>2</v>
      </c>
      <c r="E198" s="15">
        <v>2</v>
      </c>
      <c r="F198" s="15">
        <v>2</v>
      </c>
      <c r="G198" s="15">
        <v>9</v>
      </c>
      <c r="H198" s="15">
        <v>1</v>
      </c>
      <c r="I198" s="15">
        <v>10</v>
      </c>
    </row>
    <row r="199" spans="1:9">
      <c r="A199" t="s">
        <v>972</v>
      </c>
      <c r="B199" s="15">
        <v>8</v>
      </c>
      <c r="C199" s="15">
        <v>1</v>
      </c>
      <c r="D199" s="15">
        <v>1</v>
      </c>
      <c r="E199" s="15">
        <v>1</v>
      </c>
      <c r="F199" s="15">
        <v>8</v>
      </c>
      <c r="G199" s="15">
        <v>8</v>
      </c>
      <c r="H199" s="15">
        <v>1</v>
      </c>
      <c r="I199" s="15">
        <v>1</v>
      </c>
    </row>
    <row r="200" spans="1:9">
      <c r="A200" t="s">
        <v>972</v>
      </c>
      <c r="B200" s="15">
        <v>8</v>
      </c>
      <c r="C200" s="15">
        <v>5</v>
      </c>
      <c r="D200" s="15">
        <v>7</v>
      </c>
      <c r="E200" s="15">
        <v>5</v>
      </c>
      <c r="F200" s="15">
        <v>8</v>
      </c>
      <c r="G200" s="15">
        <v>7</v>
      </c>
      <c r="H200" s="15">
        <v>5</v>
      </c>
      <c r="I200" s="15">
        <v>1</v>
      </c>
    </row>
    <row r="201" spans="1:9">
      <c r="A201" t="s">
        <v>972</v>
      </c>
      <c r="B201" s="15">
        <v>9</v>
      </c>
      <c r="C201" s="15">
        <v>3</v>
      </c>
      <c r="D201" s="15">
        <v>8</v>
      </c>
      <c r="E201" s="15">
        <v>3</v>
      </c>
      <c r="F201" s="15">
        <v>8</v>
      </c>
      <c r="G201" s="15">
        <v>9</v>
      </c>
      <c r="H201" s="15">
        <v>7</v>
      </c>
      <c r="I201" s="15">
        <v>9</v>
      </c>
    </row>
    <row r="202" spans="1:9">
      <c r="A202" t="s">
        <v>972</v>
      </c>
      <c r="B202" s="15">
        <v>9</v>
      </c>
      <c r="C202" s="15">
        <v>8</v>
      </c>
      <c r="D202" s="15">
        <v>10</v>
      </c>
      <c r="E202" s="15">
        <v>8</v>
      </c>
      <c r="F202" s="15">
        <v>10</v>
      </c>
      <c r="G202" s="15">
        <v>10</v>
      </c>
      <c r="H202" s="15">
        <v>8</v>
      </c>
      <c r="I202" s="15">
        <v>9</v>
      </c>
    </row>
    <row r="203" spans="1:9">
      <c r="A203" t="s">
        <v>972</v>
      </c>
      <c r="B203" s="15">
        <v>9</v>
      </c>
      <c r="C203" s="15">
        <v>9</v>
      </c>
      <c r="D203" s="15">
        <v>9</v>
      </c>
      <c r="E203" s="15">
        <v>5</v>
      </c>
      <c r="F203" s="15">
        <v>9</v>
      </c>
      <c r="G203" s="15">
        <v>9</v>
      </c>
      <c r="H203" s="15">
        <v>5</v>
      </c>
      <c r="I203" s="15">
        <v>5</v>
      </c>
    </row>
    <row r="204" spans="1:9">
      <c r="A204" t="s">
        <v>972</v>
      </c>
      <c r="B204" s="15">
        <v>9</v>
      </c>
      <c r="C204" s="15">
        <v>6</v>
      </c>
      <c r="D204" s="15">
        <v>8</v>
      </c>
      <c r="E204" s="15">
        <v>3</v>
      </c>
      <c r="F204" s="15">
        <v>9</v>
      </c>
      <c r="G204" s="15">
        <v>7</v>
      </c>
      <c r="H204" s="15">
        <v>6</v>
      </c>
      <c r="I204" s="15">
        <v>1</v>
      </c>
    </row>
    <row r="205" spans="1:9">
      <c r="A205" t="s">
        <v>972</v>
      </c>
      <c r="B205" s="15">
        <v>9</v>
      </c>
      <c r="C205" s="15">
        <v>6</v>
      </c>
      <c r="D205" s="15">
        <v>8</v>
      </c>
      <c r="E205" s="15">
        <v>6</v>
      </c>
      <c r="F205" s="15">
        <v>8</v>
      </c>
      <c r="G205" s="15">
        <v>8</v>
      </c>
      <c r="H205" s="15">
        <v>3</v>
      </c>
      <c r="I205" s="15">
        <v>1</v>
      </c>
    </row>
    <row r="206" spans="1:9">
      <c r="A206" t="s">
        <v>972</v>
      </c>
      <c r="B206" s="15">
        <v>9</v>
      </c>
      <c r="C206" s="15">
        <v>9</v>
      </c>
      <c r="D206" s="15">
        <v>6</v>
      </c>
      <c r="E206" s="15">
        <v>7</v>
      </c>
      <c r="F206" s="15">
        <v>6</v>
      </c>
      <c r="G206" s="15">
        <v>9</v>
      </c>
      <c r="H206" s="15">
        <v>7</v>
      </c>
      <c r="I206" s="15">
        <v>8</v>
      </c>
    </row>
    <row r="207" spans="1:9">
      <c r="A207" t="s">
        <v>972</v>
      </c>
      <c r="B207" s="15">
        <v>9</v>
      </c>
      <c r="C207" s="15">
        <v>5</v>
      </c>
      <c r="D207" s="15">
        <v>9</v>
      </c>
      <c r="E207" s="15">
        <v>3</v>
      </c>
      <c r="F207" s="15">
        <v>9</v>
      </c>
      <c r="G207" s="15">
        <v>9</v>
      </c>
      <c r="H207" s="15">
        <v>3</v>
      </c>
      <c r="I207" s="15">
        <v>2</v>
      </c>
    </row>
    <row r="208" spans="1:9">
      <c r="A208" t="s">
        <v>972</v>
      </c>
      <c r="B208" s="15">
        <v>10</v>
      </c>
      <c r="C208" s="15">
        <v>8</v>
      </c>
      <c r="D208" s="15">
        <v>10</v>
      </c>
      <c r="E208" s="15">
        <v>7</v>
      </c>
      <c r="F208" s="15">
        <v>8</v>
      </c>
      <c r="G208" s="15">
        <v>8</v>
      </c>
      <c r="H208" s="15">
        <v>7</v>
      </c>
      <c r="I208" s="15">
        <v>7</v>
      </c>
    </row>
    <row r="209" spans="1:9">
      <c r="A209" t="s">
        <v>972</v>
      </c>
      <c r="B209" s="15">
        <v>10</v>
      </c>
      <c r="C209" s="15">
        <v>10</v>
      </c>
      <c r="D209" s="15">
        <v>10</v>
      </c>
      <c r="E209" s="15">
        <v>10</v>
      </c>
      <c r="F209" s="15">
        <v>10</v>
      </c>
      <c r="G209" s="15">
        <v>10</v>
      </c>
      <c r="H209" s="15">
        <v>10</v>
      </c>
      <c r="I209" s="15">
        <v>10</v>
      </c>
    </row>
    <row r="210" spans="1:9">
      <c r="A210" t="s">
        <v>972</v>
      </c>
      <c r="B210" s="15">
        <v>10</v>
      </c>
      <c r="C210" s="15">
        <v>5</v>
      </c>
      <c r="D210" s="15">
        <v>8</v>
      </c>
      <c r="E210" s="15">
        <v>1</v>
      </c>
      <c r="F210" s="15">
        <v>1</v>
      </c>
      <c r="G210" s="15">
        <v>8</v>
      </c>
      <c r="H210" s="15">
        <v>8</v>
      </c>
      <c r="I210" s="15">
        <v>1</v>
      </c>
    </row>
    <row r="211" spans="1:9">
      <c r="A211" t="s">
        <v>972</v>
      </c>
      <c r="B211" s="15">
        <v>10</v>
      </c>
      <c r="C211" s="15">
        <v>1</v>
      </c>
      <c r="D211" s="15">
        <v>2</v>
      </c>
      <c r="E211" s="15">
        <v>2</v>
      </c>
      <c r="F211" s="15">
        <v>1</v>
      </c>
      <c r="G211" s="15">
        <v>10</v>
      </c>
      <c r="H211" s="15">
        <v>5</v>
      </c>
      <c r="I211" s="15">
        <v>1</v>
      </c>
    </row>
    <row r="212" spans="1:9">
      <c r="A212" t="s">
        <v>972</v>
      </c>
      <c r="B212" s="15">
        <v>10</v>
      </c>
      <c r="C212" s="15">
        <v>5</v>
      </c>
      <c r="D212" s="15">
        <v>10</v>
      </c>
      <c r="E212" s="15">
        <v>1</v>
      </c>
      <c r="F212" s="15">
        <v>10</v>
      </c>
      <c r="G212" s="15">
        <v>7</v>
      </c>
      <c r="H212" s="15">
        <v>5</v>
      </c>
      <c r="I212" s="15">
        <v>10</v>
      </c>
    </row>
    <row r="213" spans="1:9">
      <c r="A213" t="s">
        <v>972</v>
      </c>
      <c r="B213" s="15">
        <v>10</v>
      </c>
      <c r="C213" s="15">
        <v>5</v>
      </c>
      <c r="D213" s="15">
        <v>10</v>
      </c>
      <c r="E213" s="15">
        <v>1</v>
      </c>
      <c r="F213" s="15">
        <v>8</v>
      </c>
      <c r="G213" s="15">
        <v>10</v>
      </c>
      <c r="H213" s="15">
        <v>1</v>
      </c>
      <c r="I213" s="15">
        <v>1</v>
      </c>
    </row>
    <row r="214" spans="1:9">
      <c r="A214" t="s">
        <v>972</v>
      </c>
      <c r="B214" s="15">
        <v>10</v>
      </c>
      <c r="C214" s="15">
        <v>7</v>
      </c>
      <c r="D214" s="15">
        <v>10</v>
      </c>
      <c r="E214" s="15">
        <v>10</v>
      </c>
      <c r="F214" s="15">
        <v>10</v>
      </c>
      <c r="G214" s="15">
        <v>10</v>
      </c>
      <c r="H214" s="15">
        <v>1</v>
      </c>
      <c r="I214" s="15">
        <v>1</v>
      </c>
    </row>
    <row r="215" spans="1:9">
      <c r="A215" t="s">
        <v>972</v>
      </c>
      <c r="B215" s="15">
        <v>10</v>
      </c>
      <c r="C215" s="15">
        <v>3</v>
      </c>
      <c r="D215" s="15">
        <v>10</v>
      </c>
      <c r="E215" s="15">
        <v>5</v>
      </c>
      <c r="F215" s="15">
        <v>10</v>
      </c>
      <c r="G215" s="15">
        <v>10</v>
      </c>
      <c r="H215" s="15">
        <v>6</v>
      </c>
      <c r="I215" s="15">
        <v>1</v>
      </c>
    </row>
    <row r="216" spans="1:9">
      <c r="B216" s="39">
        <f t="shared" ref="B216:I216" si="3">(SUM(B155:B215)/61)</f>
        <v>7.1967213114754101</v>
      </c>
      <c r="C216" s="39">
        <f t="shared" si="3"/>
        <v>5.360655737704918</v>
      </c>
      <c r="D216" s="39">
        <f t="shared" si="3"/>
        <v>7</v>
      </c>
      <c r="E216" s="39">
        <f t="shared" si="3"/>
        <v>3.7049180327868854</v>
      </c>
      <c r="F216" s="39">
        <f t="shared" si="3"/>
        <v>7.0983606557377046</v>
      </c>
      <c r="G216" s="39">
        <f t="shared" si="3"/>
        <v>7.8852459016393439</v>
      </c>
      <c r="H216" s="39">
        <f t="shared" si="3"/>
        <v>4.0655737704918034</v>
      </c>
      <c r="I216" s="39">
        <f t="shared" si="3"/>
        <v>3.8360655737704916</v>
      </c>
    </row>
    <row r="217" spans="1:9">
      <c r="B217" s="15"/>
      <c r="C217" s="15"/>
      <c r="D217" s="15"/>
      <c r="E217" s="15"/>
      <c r="F217" s="15"/>
      <c r="G217" s="15"/>
      <c r="H217" s="15"/>
      <c r="I217" s="15"/>
    </row>
    <row r="218" spans="1:9">
      <c r="B218" s="3" t="s">
        <v>1084</v>
      </c>
      <c r="C218" s="3" t="s">
        <v>1085</v>
      </c>
      <c r="D218" s="3" t="s">
        <v>1086</v>
      </c>
      <c r="E218" s="3" t="s">
        <v>1087</v>
      </c>
      <c r="F218" s="3" t="s">
        <v>1088</v>
      </c>
      <c r="G218" s="3" t="s">
        <v>1089</v>
      </c>
      <c r="H218" s="3" t="s">
        <v>1090</v>
      </c>
      <c r="I218" s="3" t="s">
        <v>954</v>
      </c>
    </row>
    <row r="219" spans="1:9">
      <c r="A219" t="s">
        <v>954</v>
      </c>
      <c r="B219" s="15">
        <v>8</v>
      </c>
      <c r="C219" s="15">
        <v>6</v>
      </c>
      <c r="D219" s="15">
        <v>10</v>
      </c>
      <c r="E219" s="15">
        <v>3</v>
      </c>
      <c r="F219" s="15">
        <v>9</v>
      </c>
      <c r="G219" s="15">
        <v>4</v>
      </c>
      <c r="H219" s="15">
        <v>4</v>
      </c>
      <c r="I219" s="15">
        <v>10</v>
      </c>
    </row>
    <row r="220" spans="1:9">
      <c r="A220" t="s">
        <v>954</v>
      </c>
      <c r="B220" s="15">
        <v>8</v>
      </c>
      <c r="C220" s="15">
        <v>5</v>
      </c>
      <c r="D220" s="15">
        <v>5</v>
      </c>
      <c r="E220" s="15">
        <v>5</v>
      </c>
      <c r="F220" s="15">
        <v>8</v>
      </c>
      <c r="G220" s="15">
        <v>8</v>
      </c>
      <c r="H220" s="15">
        <v>3</v>
      </c>
      <c r="I220" s="15">
        <v>5</v>
      </c>
    </row>
    <row r="221" spans="1:9">
      <c r="A221" t="s">
        <v>954</v>
      </c>
      <c r="B221" s="15">
        <v>8</v>
      </c>
      <c r="C221" s="15">
        <v>6</v>
      </c>
      <c r="D221" s="15">
        <v>7</v>
      </c>
      <c r="E221" s="15">
        <v>6</v>
      </c>
      <c r="F221" s="15">
        <v>8</v>
      </c>
      <c r="G221" s="15">
        <v>9</v>
      </c>
      <c r="H221" s="15">
        <v>6</v>
      </c>
      <c r="I221" s="15">
        <v>1</v>
      </c>
    </row>
    <row r="222" spans="1:9">
      <c r="A222" t="s">
        <v>954</v>
      </c>
      <c r="B222" s="15">
        <v>9</v>
      </c>
      <c r="C222" s="15">
        <v>10</v>
      </c>
      <c r="D222" s="15">
        <v>8</v>
      </c>
      <c r="E222" s="15">
        <v>2</v>
      </c>
      <c r="F222" s="15">
        <v>10</v>
      </c>
      <c r="G222" s="15">
        <v>10</v>
      </c>
      <c r="H222" s="15">
        <v>8</v>
      </c>
      <c r="I222" s="15">
        <v>1</v>
      </c>
    </row>
    <row r="223" spans="1:9">
      <c r="A223" t="s">
        <v>954</v>
      </c>
      <c r="B223" s="15">
        <v>10</v>
      </c>
      <c r="C223" s="15">
        <v>10</v>
      </c>
      <c r="D223" s="15">
        <v>8</v>
      </c>
      <c r="E223" s="15">
        <v>3</v>
      </c>
      <c r="F223" s="15">
        <v>2</v>
      </c>
      <c r="G223" s="15">
        <v>2</v>
      </c>
      <c r="H223" s="15">
        <v>1</v>
      </c>
      <c r="I223" s="15">
        <v>1</v>
      </c>
    </row>
    <row r="224" spans="1:9">
      <c r="B224" s="39">
        <f t="shared" ref="B224:I224" si="4">(SUM(B219:B223)/5)</f>
        <v>8.6</v>
      </c>
      <c r="C224" s="39">
        <f t="shared" si="4"/>
        <v>7.4</v>
      </c>
      <c r="D224" s="39">
        <f t="shared" si="4"/>
        <v>7.6</v>
      </c>
      <c r="E224" s="39">
        <f t="shared" si="4"/>
        <v>3.8</v>
      </c>
      <c r="F224" s="39">
        <f t="shared" si="4"/>
        <v>7.4</v>
      </c>
      <c r="G224" s="39">
        <f t="shared" si="4"/>
        <v>6.6</v>
      </c>
      <c r="H224" s="39">
        <f t="shared" si="4"/>
        <v>4.4000000000000004</v>
      </c>
      <c r="I224" s="39">
        <f t="shared" si="4"/>
        <v>3.6</v>
      </c>
    </row>
  </sheetData>
  <sortState ref="K35:O42">
    <sortCondition ref="M35:M4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O154"/>
  <sheetViews>
    <sheetView workbookViewId="0"/>
  </sheetViews>
  <sheetFormatPr defaultRowHeight="14.4"/>
  <cols>
    <col min="1" max="1" width="20.33203125" customWidth="1"/>
    <col min="2" max="2" width="18.6640625" customWidth="1"/>
    <col min="3" max="3" width="16.6640625" customWidth="1"/>
    <col min="4" max="4" width="14.6640625" customWidth="1"/>
    <col min="5" max="5" width="2.6640625" style="2" customWidth="1"/>
    <col min="6" max="6" width="16.44140625" bestFit="1" customWidth="1"/>
    <col min="7" max="7" width="16.33203125" customWidth="1"/>
    <col min="8" max="8" width="14.109375" customWidth="1"/>
    <col min="9" max="9" width="13.33203125" customWidth="1"/>
    <col min="10" max="10" width="15.5546875" customWidth="1"/>
    <col min="11" max="11" width="14.44140625" customWidth="1"/>
    <col min="12" max="12" width="9.33203125" bestFit="1" customWidth="1"/>
    <col min="13" max="13" width="11.44140625" customWidth="1"/>
  </cols>
  <sheetData>
    <row r="1" spans="1:15">
      <c r="A1" s="3" t="s">
        <v>963</v>
      </c>
    </row>
    <row r="3" spans="1:15">
      <c r="A3" s="1" t="s">
        <v>942</v>
      </c>
      <c r="B3" s="1" t="s">
        <v>964</v>
      </c>
      <c r="C3" s="1" t="s">
        <v>968</v>
      </c>
      <c r="D3" s="1">
        <v>2012</v>
      </c>
      <c r="F3" s="1" t="s">
        <v>964</v>
      </c>
      <c r="G3" s="4" t="s">
        <v>958</v>
      </c>
      <c r="H3" s="1">
        <v>2012</v>
      </c>
      <c r="J3" s="1" t="s">
        <v>964</v>
      </c>
      <c r="K3" s="10" t="s">
        <v>956</v>
      </c>
      <c r="L3" s="10" t="s">
        <v>957</v>
      </c>
      <c r="M3" s="10" t="s">
        <v>503</v>
      </c>
      <c r="N3" s="10" t="s">
        <v>954</v>
      </c>
    </row>
    <row r="4" spans="1:15">
      <c r="A4" t="s">
        <v>974</v>
      </c>
      <c r="B4" t="s">
        <v>516</v>
      </c>
      <c r="C4" s="12">
        <v>5000</v>
      </c>
      <c r="F4" t="s">
        <v>516</v>
      </c>
      <c r="G4">
        <v>9</v>
      </c>
      <c r="H4">
        <v>10</v>
      </c>
      <c r="J4" t="s">
        <v>516</v>
      </c>
      <c r="K4" s="11">
        <v>1</v>
      </c>
      <c r="L4" s="11">
        <v>0</v>
      </c>
      <c r="M4" s="11">
        <v>8</v>
      </c>
      <c r="N4" s="11">
        <v>0</v>
      </c>
      <c r="O4">
        <f t="shared" ref="O4:O10" si="0">SUM(K4:N4)</f>
        <v>9</v>
      </c>
    </row>
    <row r="5" spans="1:15">
      <c r="A5" t="s">
        <v>972</v>
      </c>
      <c r="B5" t="s">
        <v>516</v>
      </c>
      <c r="C5" s="12">
        <v>5000</v>
      </c>
      <c r="F5" t="s">
        <v>517</v>
      </c>
      <c r="G5">
        <v>14</v>
      </c>
      <c r="H5">
        <v>9</v>
      </c>
      <c r="J5" t="s">
        <v>517</v>
      </c>
      <c r="K5" s="11">
        <v>5</v>
      </c>
      <c r="L5" s="11">
        <v>1</v>
      </c>
      <c r="M5" s="11">
        <v>8</v>
      </c>
      <c r="N5" s="11">
        <v>0</v>
      </c>
      <c r="O5">
        <f t="shared" si="0"/>
        <v>14</v>
      </c>
    </row>
    <row r="6" spans="1:15">
      <c r="A6" t="s">
        <v>972</v>
      </c>
      <c r="B6" t="s">
        <v>516</v>
      </c>
      <c r="C6" s="12">
        <v>5000</v>
      </c>
      <c r="F6" t="s">
        <v>545</v>
      </c>
      <c r="G6">
        <v>8</v>
      </c>
      <c r="H6">
        <v>10</v>
      </c>
      <c r="J6" t="s">
        <v>545</v>
      </c>
      <c r="K6" s="11">
        <v>1</v>
      </c>
      <c r="L6" s="11">
        <v>2</v>
      </c>
      <c r="M6" s="11">
        <v>5</v>
      </c>
      <c r="N6" s="11">
        <v>0</v>
      </c>
      <c r="O6">
        <f t="shared" si="0"/>
        <v>8</v>
      </c>
    </row>
    <row r="7" spans="1:15">
      <c r="A7" t="s">
        <v>972</v>
      </c>
      <c r="B7" t="s">
        <v>516</v>
      </c>
      <c r="C7" s="12">
        <v>5000</v>
      </c>
      <c r="F7" t="s">
        <v>505</v>
      </c>
      <c r="G7">
        <v>45</v>
      </c>
      <c r="H7">
        <v>40</v>
      </c>
      <c r="J7" t="s">
        <v>505</v>
      </c>
      <c r="K7" s="11">
        <v>12</v>
      </c>
      <c r="L7" s="11">
        <v>1</v>
      </c>
      <c r="M7" s="11">
        <v>30</v>
      </c>
      <c r="N7" s="11">
        <v>2</v>
      </c>
      <c r="O7">
        <f t="shared" si="0"/>
        <v>45</v>
      </c>
    </row>
    <row r="8" spans="1:15">
      <c r="A8" t="s">
        <v>972</v>
      </c>
      <c r="B8" t="s">
        <v>516</v>
      </c>
      <c r="C8" s="12">
        <v>5000</v>
      </c>
      <c r="F8" t="s">
        <v>509</v>
      </c>
      <c r="G8">
        <v>11</v>
      </c>
      <c r="H8">
        <v>13</v>
      </c>
      <c r="J8" t="s">
        <v>509</v>
      </c>
      <c r="K8" s="11">
        <v>5</v>
      </c>
      <c r="L8" s="11">
        <v>0</v>
      </c>
      <c r="M8" s="11">
        <v>6</v>
      </c>
      <c r="N8" s="11">
        <v>0</v>
      </c>
      <c r="O8">
        <f t="shared" si="0"/>
        <v>11</v>
      </c>
    </row>
    <row r="9" spans="1:15">
      <c r="A9" t="s">
        <v>972</v>
      </c>
      <c r="B9" t="s">
        <v>516</v>
      </c>
      <c r="C9" s="12">
        <v>5000</v>
      </c>
      <c r="F9" t="s">
        <v>496</v>
      </c>
      <c r="G9">
        <v>48</v>
      </c>
      <c r="H9">
        <v>42</v>
      </c>
      <c r="J9" t="s">
        <v>496</v>
      </c>
      <c r="K9" s="11">
        <v>13</v>
      </c>
      <c r="L9" s="11">
        <v>6</v>
      </c>
      <c r="M9" s="11">
        <v>27</v>
      </c>
      <c r="N9" s="11">
        <v>2</v>
      </c>
      <c r="O9">
        <f t="shared" si="0"/>
        <v>48</v>
      </c>
    </row>
    <row r="10" spans="1:15">
      <c r="A10" t="s">
        <v>972</v>
      </c>
      <c r="B10" t="s">
        <v>516</v>
      </c>
      <c r="C10" s="12">
        <v>5000</v>
      </c>
      <c r="F10" t="s">
        <v>486</v>
      </c>
      <c r="G10">
        <v>8</v>
      </c>
      <c r="H10">
        <v>11</v>
      </c>
      <c r="J10" t="s">
        <v>486</v>
      </c>
      <c r="K10" s="11">
        <v>1</v>
      </c>
      <c r="L10" s="11">
        <v>0</v>
      </c>
      <c r="M10" s="11">
        <v>5</v>
      </c>
      <c r="N10" s="11">
        <v>2</v>
      </c>
      <c r="O10">
        <f t="shared" si="0"/>
        <v>8</v>
      </c>
    </row>
    <row r="11" spans="1:15">
      <c r="A11" t="s">
        <v>972</v>
      </c>
      <c r="B11" t="s">
        <v>516</v>
      </c>
      <c r="C11" s="12">
        <v>5000</v>
      </c>
      <c r="G11" s="3">
        <f>SUM(G4:G10)</f>
        <v>143</v>
      </c>
      <c r="H11" s="3">
        <f>SUM(H4:H10)</f>
        <v>135</v>
      </c>
      <c r="K11" s="11"/>
      <c r="L11" s="11"/>
      <c r="M11" s="11"/>
      <c r="N11" s="11"/>
    </row>
    <row r="12" spans="1:15">
      <c r="A12" t="s">
        <v>972</v>
      </c>
      <c r="B12" t="s">
        <v>516</v>
      </c>
      <c r="C12" s="12">
        <v>5000</v>
      </c>
      <c r="K12">
        <f>SUM(K4:K11)</f>
        <v>38</v>
      </c>
      <c r="L12">
        <f>SUM(L4:L11)</f>
        <v>10</v>
      </c>
      <c r="M12">
        <f>SUM(M4:M11)</f>
        <v>89</v>
      </c>
      <c r="N12">
        <f>SUM(N4:N11)</f>
        <v>6</v>
      </c>
      <c r="O12" s="3">
        <f>SUM(O4:O11)</f>
        <v>143</v>
      </c>
    </row>
    <row r="13" spans="1:15">
      <c r="A13" t="s">
        <v>974</v>
      </c>
      <c r="B13" t="s">
        <v>517</v>
      </c>
      <c r="C13" s="12">
        <v>30000</v>
      </c>
    </row>
    <row r="14" spans="1:15">
      <c r="A14" t="s">
        <v>974</v>
      </c>
      <c r="B14" t="s">
        <v>517</v>
      </c>
      <c r="C14" s="12">
        <v>30000</v>
      </c>
      <c r="F14" s="6"/>
    </row>
    <row r="15" spans="1:15">
      <c r="A15" t="s">
        <v>974</v>
      </c>
      <c r="B15" t="s">
        <v>517</v>
      </c>
      <c r="C15" s="12">
        <v>30000</v>
      </c>
      <c r="F15" s="6"/>
    </row>
    <row r="16" spans="1:15">
      <c r="A16" t="s">
        <v>974</v>
      </c>
      <c r="B16" t="s">
        <v>517</v>
      </c>
      <c r="C16" s="12">
        <v>30000</v>
      </c>
      <c r="F16" s="6"/>
    </row>
    <row r="17" spans="1:6">
      <c r="A17" t="s">
        <v>974</v>
      </c>
      <c r="B17" t="s">
        <v>517</v>
      </c>
      <c r="C17" s="12">
        <v>30000</v>
      </c>
      <c r="F17" s="6"/>
    </row>
    <row r="18" spans="1:6">
      <c r="A18" t="s">
        <v>973</v>
      </c>
      <c r="B18" t="s">
        <v>517</v>
      </c>
      <c r="C18" s="12">
        <v>30000</v>
      </c>
      <c r="F18" s="6"/>
    </row>
    <row r="19" spans="1:6">
      <c r="A19" t="s">
        <v>972</v>
      </c>
      <c r="B19" t="s">
        <v>517</v>
      </c>
      <c r="C19" s="12">
        <v>30000</v>
      </c>
      <c r="F19" s="6"/>
    </row>
    <row r="20" spans="1:6">
      <c r="A20" t="s">
        <v>972</v>
      </c>
      <c r="B20" t="s">
        <v>517</v>
      </c>
      <c r="C20" s="12">
        <v>30000</v>
      </c>
      <c r="F20" s="6"/>
    </row>
    <row r="21" spans="1:6">
      <c r="A21" t="s">
        <v>972</v>
      </c>
      <c r="B21" t="s">
        <v>517</v>
      </c>
      <c r="C21" s="12">
        <v>30000</v>
      </c>
      <c r="F21" s="6"/>
    </row>
    <row r="22" spans="1:6">
      <c r="A22" t="s">
        <v>972</v>
      </c>
      <c r="B22" t="s">
        <v>517</v>
      </c>
      <c r="C22" s="12">
        <v>30000</v>
      </c>
    </row>
    <row r="23" spans="1:6">
      <c r="A23" t="s">
        <v>972</v>
      </c>
      <c r="B23" t="s">
        <v>517</v>
      </c>
      <c r="C23" s="12">
        <v>30000</v>
      </c>
    </row>
    <row r="24" spans="1:6">
      <c r="A24" t="s">
        <v>972</v>
      </c>
      <c r="B24" t="s">
        <v>517</v>
      </c>
      <c r="C24" s="12">
        <v>30000</v>
      </c>
    </row>
    <row r="25" spans="1:6">
      <c r="A25" t="s">
        <v>972</v>
      </c>
      <c r="B25" t="s">
        <v>517</v>
      </c>
      <c r="C25" s="12">
        <v>30000</v>
      </c>
    </row>
    <row r="26" spans="1:6">
      <c r="A26" t="s">
        <v>972</v>
      </c>
      <c r="B26" t="s">
        <v>517</v>
      </c>
      <c r="C26" s="12">
        <v>30000</v>
      </c>
    </row>
    <row r="27" spans="1:6">
      <c r="A27" t="s">
        <v>974</v>
      </c>
      <c r="B27" t="s">
        <v>545</v>
      </c>
      <c r="C27" s="12">
        <v>75000</v>
      </c>
    </row>
    <row r="28" spans="1:6">
      <c r="A28" t="s">
        <v>974</v>
      </c>
      <c r="B28" t="s">
        <v>545</v>
      </c>
      <c r="C28" s="12">
        <v>75000</v>
      </c>
    </row>
    <row r="29" spans="1:6">
      <c r="A29" t="s">
        <v>973</v>
      </c>
      <c r="B29" t="s">
        <v>545</v>
      </c>
      <c r="C29" s="12">
        <v>75000</v>
      </c>
    </row>
    <row r="30" spans="1:6">
      <c r="A30" t="s">
        <v>972</v>
      </c>
      <c r="B30" t="s">
        <v>545</v>
      </c>
      <c r="C30" s="12">
        <v>75000</v>
      </c>
    </row>
    <row r="31" spans="1:6">
      <c r="A31" t="s">
        <v>972</v>
      </c>
      <c r="B31" t="s">
        <v>545</v>
      </c>
      <c r="C31" s="12">
        <v>75000</v>
      </c>
    </row>
    <row r="32" spans="1:6">
      <c r="A32" t="s">
        <v>972</v>
      </c>
      <c r="B32" t="s">
        <v>545</v>
      </c>
      <c r="C32" s="12">
        <v>75000</v>
      </c>
    </row>
    <row r="33" spans="1:9">
      <c r="A33" t="s">
        <v>972</v>
      </c>
      <c r="B33" t="s">
        <v>545</v>
      </c>
      <c r="C33" s="12">
        <v>75000</v>
      </c>
    </row>
    <row r="34" spans="1:9">
      <c r="A34" t="s">
        <v>972</v>
      </c>
      <c r="B34" t="s">
        <v>545</v>
      </c>
      <c r="C34" s="12">
        <v>75000</v>
      </c>
    </row>
    <row r="35" spans="1:9">
      <c r="A35" t="s">
        <v>974</v>
      </c>
      <c r="B35" t="s">
        <v>505</v>
      </c>
      <c r="C35" s="12">
        <v>300000</v>
      </c>
    </row>
    <row r="36" spans="1:9">
      <c r="A36" t="s">
        <v>974</v>
      </c>
      <c r="B36" t="s">
        <v>505</v>
      </c>
      <c r="C36" s="12">
        <v>300000</v>
      </c>
    </row>
    <row r="37" spans="1:9">
      <c r="A37" t="s">
        <v>974</v>
      </c>
      <c r="B37" t="s">
        <v>505</v>
      </c>
      <c r="C37" s="12">
        <v>300000</v>
      </c>
      <c r="H37" s="1">
        <v>2013</v>
      </c>
      <c r="I37" s="1">
        <v>2012</v>
      </c>
    </row>
    <row r="38" spans="1:9">
      <c r="A38" t="s">
        <v>974</v>
      </c>
      <c r="B38" t="s">
        <v>505</v>
      </c>
      <c r="C38" s="12">
        <v>300000</v>
      </c>
      <c r="F38" t="s">
        <v>965</v>
      </c>
      <c r="H38" s="14">
        <v>342815000</v>
      </c>
      <c r="I38" s="14">
        <v>342870000</v>
      </c>
    </row>
    <row r="39" spans="1:9">
      <c r="A39" t="s">
        <v>974</v>
      </c>
      <c r="B39" t="s">
        <v>505</v>
      </c>
      <c r="C39" s="12">
        <v>300000</v>
      </c>
      <c r="F39" t="s">
        <v>966</v>
      </c>
      <c r="H39" s="14">
        <v>2397308</v>
      </c>
      <c r="I39" s="14">
        <v>2539778</v>
      </c>
    </row>
    <row r="40" spans="1:9">
      <c r="A40" t="s">
        <v>974</v>
      </c>
      <c r="B40" t="s">
        <v>505</v>
      </c>
      <c r="C40" s="12">
        <v>300000</v>
      </c>
      <c r="F40" t="s">
        <v>967</v>
      </c>
      <c r="H40" s="14">
        <v>300000</v>
      </c>
      <c r="I40" s="14">
        <v>300000</v>
      </c>
    </row>
    <row r="41" spans="1:9">
      <c r="A41" t="s">
        <v>974</v>
      </c>
      <c r="B41" t="s">
        <v>505</v>
      </c>
      <c r="C41" s="12">
        <v>300000</v>
      </c>
    </row>
    <row r="42" spans="1:9">
      <c r="A42" t="s">
        <v>974</v>
      </c>
      <c r="B42" t="s">
        <v>505</v>
      </c>
      <c r="C42" s="12">
        <v>300000</v>
      </c>
    </row>
    <row r="43" spans="1:9">
      <c r="A43" t="s">
        <v>974</v>
      </c>
      <c r="B43" t="s">
        <v>505</v>
      </c>
      <c r="C43" s="12">
        <v>300000</v>
      </c>
    </row>
    <row r="44" spans="1:9">
      <c r="A44" t="s">
        <v>974</v>
      </c>
      <c r="B44" t="s">
        <v>505</v>
      </c>
      <c r="C44" s="12">
        <v>300000</v>
      </c>
    </row>
    <row r="45" spans="1:9">
      <c r="A45" t="s">
        <v>974</v>
      </c>
      <c r="B45" t="s">
        <v>505</v>
      </c>
      <c r="C45" s="12">
        <v>300000</v>
      </c>
    </row>
    <row r="46" spans="1:9">
      <c r="A46" t="s">
        <v>974</v>
      </c>
      <c r="B46" t="s">
        <v>505</v>
      </c>
      <c r="C46" s="12">
        <v>300000</v>
      </c>
    </row>
    <row r="47" spans="1:9">
      <c r="A47" t="s">
        <v>973</v>
      </c>
      <c r="B47" t="s">
        <v>505</v>
      </c>
      <c r="C47" s="12">
        <v>300000</v>
      </c>
    </row>
    <row r="48" spans="1:9">
      <c r="A48" t="s">
        <v>972</v>
      </c>
      <c r="B48" t="s">
        <v>505</v>
      </c>
      <c r="C48" s="12">
        <v>300000</v>
      </c>
    </row>
    <row r="49" spans="1:3">
      <c r="A49" t="s">
        <v>972</v>
      </c>
      <c r="B49" t="s">
        <v>505</v>
      </c>
      <c r="C49" s="12">
        <v>300000</v>
      </c>
    </row>
    <row r="50" spans="1:3">
      <c r="A50" t="s">
        <v>972</v>
      </c>
      <c r="B50" t="s">
        <v>505</v>
      </c>
      <c r="C50" s="12">
        <v>300000</v>
      </c>
    </row>
    <row r="51" spans="1:3">
      <c r="A51" t="s">
        <v>972</v>
      </c>
      <c r="B51" t="s">
        <v>505</v>
      </c>
      <c r="C51" s="12">
        <v>300000</v>
      </c>
    </row>
    <row r="52" spans="1:3">
      <c r="A52" t="s">
        <v>972</v>
      </c>
      <c r="B52" t="s">
        <v>505</v>
      </c>
      <c r="C52" s="12">
        <v>300000</v>
      </c>
    </row>
    <row r="53" spans="1:3">
      <c r="A53" t="s">
        <v>972</v>
      </c>
      <c r="B53" t="s">
        <v>505</v>
      </c>
      <c r="C53" s="12">
        <v>300000</v>
      </c>
    </row>
    <row r="54" spans="1:3">
      <c r="A54" t="s">
        <v>972</v>
      </c>
      <c r="B54" t="s">
        <v>505</v>
      </c>
      <c r="C54" s="12">
        <v>300000</v>
      </c>
    </row>
    <row r="55" spans="1:3">
      <c r="A55" t="s">
        <v>972</v>
      </c>
      <c r="B55" t="s">
        <v>505</v>
      </c>
      <c r="C55" s="12">
        <v>300000</v>
      </c>
    </row>
    <row r="56" spans="1:3">
      <c r="A56" t="s">
        <v>972</v>
      </c>
      <c r="B56" t="s">
        <v>505</v>
      </c>
      <c r="C56" s="12">
        <v>300000</v>
      </c>
    </row>
    <row r="57" spans="1:3">
      <c r="A57" t="s">
        <v>972</v>
      </c>
      <c r="B57" t="s">
        <v>505</v>
      </c>
      <c r="C57" s="12">
        <v>300000</v>
      </c>
    </row>
    <row r="58" spans="1:3">
      <c r="A58" t="s">
        <v>972</v>
      </c>
      <c r="B58" t="s">
        <v>505</v>
      </c>
      <c r="C58" s="12">
        <v>300000</v>
      </c>
    </row>
    <row r="59" spans="1:3">
      <c r="A59" t="s">
        <v>972</v>
      </c>
      <c r="B59" t="s">
        <v>505</v>
      </c>
      <c r="C59" s="12">
        <v>300000</v>
      </c>
    </row>
    <row r="60" spans="1:3">
      <c r="A60" t="s">
        <v>972</v>
      </c>
      <c r="B60" t="s">
        <v>505</v>
      </c>
      <c r="C60" s="12">
        <v>300000</v>
      </c>
    </row>
    <row r="61" spans="1:3">
      <c r="A61" t="s">
        <v>972</v>
      </c>
      <c r="B61" t="s">
        <v>505</v>
      </c>
      <c r="C61" s="12">
        <v>300000</v>
      </c>
    </row>
    <row r="62" spans="1:3">
      <c r="A62" t="s">
        <v>972</v>
      </c>
      <c r="B62" t="s">
        <v>505</v>
      </c>
      <c r="C62" s="12">
        <v>300000</v>
      </c>
    </row>
    <row r="63" spans="1:3">
      <c r="A63" t="s">
        <v>972</v>
      </c>
      <c r="B63" t="s">
        <v>505</v>
      </c>
      <c r="C63" s="12">
        <v>300000</v>
      </c>
    </row>
    <row r="64" spans="1:3">
      <c r="A64" t="s">
        <v>972</v>
      </c>
      <c r="B64" t="s">
        <v>505</v>
      </c>
      <c r="C64" s="12">
        <v>300000</v>
      </c>
    </row>
    <row r="65" spans="1:3">
      <c r="A65" t="s">
        <v>972</v>
      </c>
      <c r="B65" t="s">
        <v>505</v>
      </c>
      <c r="C65" s="12">
        <v>300000</v>
      </c>
    </row>
    <row r="66" spans="1:3">
      <c r="A66" t="s">
        <v>972</v>
      </c>
      <c r="B66" t="s">
        <v>505</v>
      </c>
      <c r="C66" s="12">
        <v>300000</v>
      </c>
    </row>
    <row r="67" spans="1:3">
      <c r="A67" t="s">
        <v>972</v>
      </c>
      <c r="B67" t="s">
        <v>505</v>
      </c>
      <c r="C67" s="12">
        <v>300000</v>
      </c>
    </row>
    <row r="68" spans="1:3">
      <c r="A68" t="s">
        <v>972</v>
      </c>
      <c r="B68" t="s">
        <v>505</v>
      </c>
      <c r="C68" s="12">
        <v>300000</v>
      </c>
    </row>
    <row r="69" spans="1:3">
      <c r="A69" t="s">
        <v>972</v>
      </c>
      <c r="B69" t="s">
        <v>505</v>
      </c>
      <c r="C69" s="12">
        <v>300000</v>
      </c>
    </row>
    <row r="70" spans="1:3">
      <c r="A70" t="s">
        <v>972</v>
      </c>
      <c r="B70" t="s">
        <v>505</v>
      </c>
      <c r="C70" s="12">
        <v>300000</v>
      </c>
    </row>
    <row r="71" spans="1:3">
      <c r="A71" t="s">
        <v>972</v>
      </c>
      <c r="B71" t="s">
        <v>505</v>
      </c>
      <c r="C71" s="12">
        <v>300000</v>
      </c>
    </row>
    <row r="72" spans="1:3">
      <c r="A72" t="s">
        <v>972</v>
      </c>
      <c r="B72" t="s">
        <v>505</v>
      </c>
      <c r="C72" s="12">
        <v>300000</v>
      </c>
    </row>
    <row r="73" spans="1:3">
      <c r="A73" t="s">
        <v>972</v>
      </c>
      <c r="B73" t="s">
        <v>505</v>
      </c>
      <c r="C73" s="12">
        <v>300000</v>
      </c>
    </row>
    <row r="74" spans="1:3">
      <c r="A74" t="s">
        <v>972</v>
      </c>
      <c r="B74" t="s">
        <v>505</v>
      </c>
      <c r="C74" s="12">
        <v>300000</v>
      </c>
    </row>
    <row r="75" spans="1:3">
      <c r="A75" t="s">
        <v>972</v>
      </c>
      <c r="B75" t="s">
        <v>505</v>
      </c>
      <c r="C75" s="12">
        <v>300000</v>
      </c>
    </row>
    <row r="76" spans="1:3">
      <c r="A76" t="s">
        <v>972</v>
      </c>
      <c r="B76" t="s">
        <v>505</v>
      </c>
      <c r="C76" s="12">
        <v>300000</v>
      </c>
    </row>
    <row r="77" spans="1:3">
      <c r="A77" t="s">
        <v>972</v>
      </c>
      <c r="B77" t="s">
        <v>505</v>
      </c>
      <c r="C77" s="12">
        <v>300000</v>
      </c>
    </row>
    <row r="78" spans="1:3">
      <c r="A78" t="s">
        <v>954</v>
      </c>
      <c r="B78" t="s">
        <v>505</v>
      </c>
      <c r="C78" s="12">
        <v>300000</v>
      </c>
    </row>
    <row r="79" spans="1:3">
      <c r="A79" t="s">
        <v>954</v>
      </c>
      <c r="B79" t="s">
        <v>505</v>
      </c>
      <c r="C79" s="12">
        <v>300000</v>
      </c>
    </row>
    <row r="80" spans="1:3">
      <c r="A80" t="s">
        <v>974</v>
      </c>
      <c r="B80" t="s">
        <v>509</v>
      </c>
      <c r="C80" s="12">
        <v>750000</v>
      </c>
    </row>
    <row r="81" spans="1:3">
      <c r="A81" t="s">
        <v>974</v>
      </c>
      <c r="B81" t="s">
        <v>509</v>
      </c>
      <c r="C81" s="12">
        <v>750000</v>
      </c>
    </row>
    <row r="82" spans="1:3">
      <c r="A82" t="s">
        <v>974</v>
      </c>
      <c r="B82" t="s">
        <v>509</v>
      </c>
      <c r="C82" s="12">
        <v>750000</v>
      </c>
    </row>
    <row r="83" spans="1:3">
      <c r="A83" t="s">
        <v>974</v>
      </c>
      <c r="B83" t="s">
        <v>509</v>
      </c>
      <c r="C83" s="12">
        <v>750000</v>
      </c>
    </row>
    <row r="84" spans="1:3">
      <c r="A84" t="s">
        <v>974</v>
      </c>
      <c r="B84" t="s">
        <v>509</v>
      </c>
      <c r="C84" s="12">
        <v>750000</v>
      </c>
    </row>
    <row r="85" spans="1:3">
      <c r="A85" t="s">
        <v>972</v>
      </c>
      <c r="B85" t="s">
        <v>509</v>
      </c>
      <c r="C85" s="12">
        <v>750000</v>
      </c>
    </row>
    <row r="86" spans="1:3">
      <c r="A86" t="s">
        <v>972</v>
      </c>
      <c r="B86" t="s">
        <v>509</v>
      </c>
      <c r="C86" s="12">
        <v>750000</v>
      </c>
    </row>
    <row r="87" spans="1:3">
      <c r="A87" t="s">
        <v>972</v>
      </c>
      <c r="B87" t="s">
        <v>509</v>
      </c>
      <c r="C87" s="12">
        <v>750000</v>
      </c>
    </row>
    <row r="88" spans="1:3">
      <c r="A88" t="s">
        <v>972</v>
      </c>
      <c r="B88" t="s">
        <v>509</v>
      </c>
      <c r="C88" s="12">
        <v>750000</v>
      </c>
    </row>
    <row r="89" spans="1:3">
      <c r="A89" t="s">
        <v>972</v>
      </c>
      <c r="B89" t="s">
        <v>509</v>
      </c>
      <c r="C89" s="12">
        <v>750000</v>
      </c>
    </row>
    <row r="90" spans="1:3">
      <c r="A90" t="s">
        <v>972</v>
      </c>
      <c r="B90" t="s">
        <v>509</v>
      </c>
      <c r="C90" s="12">
        <v>750000</v>
      </c>
    </row>
    <row r="91" spans="1:3">
      <c r="A91" t="s">
        <v>974</v>
      </c>
      <c r="B91" t="s">
        <v>496</v>
      </c>
      <c r="C91" s="12">
        <v>5000000</v>
      </c>
    </row>
    <row r="92" spans="1:3">
      <c r="A92" t="s">
        <v>974</v>
      </c>
      <c r="B92" t="s">
        <v>496</v>
      </c>
      <c r="C92" s="12">
        <v>5000000</v>
      </c>
    </row>
    <row r="93" spans="1:3">
      <c r="A93" t="s">
        <v>974</v>
      </c>
      <c r="B93" t="s">
        <v>496</v>
      </c>
      <c r="C93" s="12">
        <v>5000000</v>
      </c>
    </row>
    <row r="94" spans="1:3">
      <c r="A94" t="s">
        <v>974</v>
      </c>
      <c r="B94" t="s">
        <v>496</v>
      </c>
      <c r="C94" s="12">
        <v>5000000</v>
      </c>
    </row>
    <row r="95" spans="1:3">
      <c r="A95" t="s">
        <v>974</v>
      </c>
      <c r="B95" t="s">
        <v>496</v>
      </c>
      <c r="C95" s="12">
        <v>5000000</v>
      </c>
    </row>
    <row r="96" spans="1:3">
      <c r="A96" t="s">
        <v>974</v>
      </c>
      <c r="B96" t="s">
        <v>496</v>
      </c>
      <c r="C96" s="12">
        <v>5000000</v>
      </c>
    </row>
    <row r="97" spans="1:3">
      <c r="A97" t="s">
        <v>974</v>
      </c>
      <c r="B97" t="s">
        <v>496</v>
      </c>
      <c r="C97" s="12">
        <v>5000000</v>
      </c>
    </row>
    <row r="98" spans="1:3">
      <c r="A98" t="s">
        <v>974</v>
      </c>
      <c r="B98" t="s">
        <v>496</v>
      </c>
      <c r="C98" s="12">
        <v>5000000</v>
      </c>
    </row>
    <row r="99" spans="1:3">
      <c r="A99" t="s">
        <v>974</v>
      </c>
      <c r="B99" t="s">
        <v>496</v>
      </c>
      <c r="C99" s="12">
        <v>5000000</v>
      </c>
    </row>
    <row r="100" spans="1:3">
      <c r="A100" t="s">
        <v>974</v>
      </c>
      <c r="B100" t="s">
        <v>496</v>
      </c>
      <c r="C100" s="12">
        <v>5000000</v>
      </c>
    </row>
    <row r="101" spans="1:3">
      <c r="A101" t="s">
        <v>974</v>
      </c>
      <c r="B101" t="s">
        <v>496</v>
      </c>
      <c r="C101" s="12">
        <v>5000000</v>
      </c>
    </row>
    <row r="102" spans="1:3">
      <c r="A102" t="s">
        <v>974</v>
      </c>
      <c r="B102" t="s">
        <v>496</v>
      </c>
      <c r="C102" s="12">
        <v>5000000</v>
      </c>
    </row>
    <row r="103" spans="1:3">
      <c r="A103" t="s">
        <v>974</v>
      </c>
      <c r="B103" t="s">
        <v>496</v>
      </c>
      <c r="C103" s="12">
        <v>5000000</v>
      </c>
    </row>
    <row r="104" spans="1:3">
      <c r="A104" t="s">
        <v>973</v>
      </c>
      <c r="B104" t="s">
        <v>496</v>
      </c>
      <c r="C104" s="12">
        <v>5000000</v>
      </c>
    </row>
    <row r="105" spans="1:3">
      <c r="A105" t="s">
        <v>973</v>
      </c>
      <c r="B105" t="s">
        <v>496</v>
      </c>
      <c r="C105" s="12">
        <v>5000000</v>
      </c>
    </row>
    <row r="106" spans="1:3">
      <c r="A106" t="s">
        <v>973</v>
      </c>
      <c r="B106" t="s">
        <v>496</v>
      </c>
      <c r="C106" s="12">
        <v>5000000</v>
      </c>
    </row>
    <row r="107" spans="1:3">
      <c r="A107" t="s">
        <v>973</v>
      </c>
      <c r="B107" t="s">
        <v>496</v>
      </c>
      <c r="C107" s="12">
        <v>5000000</v>
      </c>
    </row>
    <row r="108" spans="1:3">
      <c r="A108" t="s">
        <v>973</v>
      </c>
      <c r="B108" t="s">
        <v>496</v>
      </c>
      <c r="C108" s="12">
        <v>5000000</v>
      </c>
    </row>
    <row r="109" spans="1:3">
      <c r="A109" t="s">
        <v>973</v>
      </c>
      <c r="B109" t="s">
        <v>496</v>
      </c>
      <c r="C109" s="12">
        <v>5000000</v>
      </c>
    </row>
    <row r="110" spans="1:3">
      <c r="A110" t="s">
        <v>972</v>
      </c>
      <c r="B110" t="s">
        <v>496</v>
      </c>
      <c r="C110" s="12">
        <v>5000000</v>
      </c>
    </row>
    <row r="111" spans="1:3">
      <c r="A111" t="s">
        <v>972</v>
      </c>
      <c r="B111" t="s">
        <v>496</v>
      </c>
      <c r="C111" s="12">
        <v>5000000</v>
      </c>
    </row>
    <row r="112" spans="1:3">
      <c r="A112" t="s">
        <v>972</v>
      </c>
      <c r="B112" t="s">
        <v>496</v>
      </c>
      <c r="C112" s="12">
        <v>5000000</v>
      </c>
    </row>
    <row r="113" spans="1:3">
      <c r="A113" t="s">
        <v>972</v>
      </c>
      <c r="B113" t="s">
        <v>496</v>
      </c>
      <c r="C113" s="12">
        <v>5000000</v>
      </c>
    </row>
    <row r="114" spans="1:3">
      <c r="A114" t="s">
        <v>972</v>
      </c>
      <c r="B114" t="s">
        <v>496</v>
      </c>
      <c r="C114" s="12">
        <v>5000000</v>
      </c>
    </row>
    <row r="115" spans="1:3">
      <c r="A115" t="s">
        <v>972</v>
      </c>
      <c r="B115" t="s">
        <v>496</v>
      </c>
      <c r="C115" s="12">
        <v>5000000</v>
      </c>
    </row>
    <row r="116" spans="1:3">
      <c r="A116" t="s">
        <v>972</v>
      </c>
      <c r="B116" t="s">
        <v>496</v>
      </c>
      <c r="C116" s="12">
        <v>5000000</v>
      </c>
    </row>
    <row r="117" spans="1:3">
      <c r="A117" t="s">
        <v>972</v>
      </c>
      <c r="B117" t="s">
        <v>496</v>
      </c>
      <c r="C117" s="12">
        <v>5000000</v>
      </c>
    </row>
    <row r="118" spans="1:3">
      <c r="A118" t="s">
        <v>972</v>
      </c>
      <c r="B118" t="s">
        <v>496</v>
      </c>
      <c r="C118" s="12">
        <v>5000000</v>
      </c>
    </row>
    <row r="119" spans="1:3">
      <c r="A119" t="s">
        <v>972</v>
      </c>
      <c r="B119" t="s">
        <v>496</v>
      </c>
      <c r="C119" s="12">
        <v>5000000</v>
      </c>
    </row>
    <row r="120" spans="1:3">
      <c r="A120" t="s">
        <v>972</v>
      </c>
      <c r="B120" t="s">
        <v>496</v>
      </c>
      <c r="C120" s="12">
        <v>5000000</v>
      </c>
    </row>
    <row r="121" spans="1:3">
      <c r="A121" t="s">
        <v>972</v>
      </c>
      <c r="B121" t="s">
        <v>496</v>
      </c>
      <c r="C121" s="12">
        <v>5000000</v>
      </c>
    </row>
    <row r="122" spans="1:3">
      <c r="A122" t="s">
        <v>972</v>
      </c>
      <c r="B122" t="s">
        <v>496</v>
      </c>
      <c r="C122" s="12">
        <v>5000000</v>
      </c>
    </row>
    <row r="123" spans="1:3">
      <c r="A123" t="s">
        <v>972</v>
      </c>
      <c r="B123" t="s">
        <v>496</v>
      </c>
      <c r="C123" s="12">
        <v>5000000</v>
      </c>
    </row>
    <row r="124" spans="1:3">
      <c r="A124" t="s">
        <v>972</v>
      </c>
      <c r="B124" t="s">
        <v>496</v>
      </c>
      <c r="C124" s="12">
        <v>5000000</v>
      </c>
    </row>
    <row r="125" spans="1:3">
      <c r="A125" t="s">
        <v>972</v>
      </c>
      <c r="B125" t="s">
        <v>496</v>
      </c>
      <c r="C125" s="12">
        <v>5000000</v>
      </c>
    </row>
    <row r="126" spans="1:3">
      <c r="A126" t="s">
        <v>972</v>
      </c>
      <c r="B126" t="s">
        <v>496</v>
      </c>
      <c r="C126" s="12">
        <v>5000000</v>
      </c>
    </row>
    <row r="127" spans="1:3">
      <c r="A127" t="s">
        <v>972</v>
      </c>
      <c r="B127" t="s">
        <v>496</v>
      </c>
      <c r="C127" s="12">
        <v>5000000</v>
      </c>
    </row>
    <row r="128" spans="1:3">
      <c r="A128" t="s">
        <v>972</v>
      </c>
      <c r="B128" t="s">
        <v>496</v>
      </c>
      <c r="C128" s="12">
        <v>5000000</v>
      </c>
    </row>
    <row r="129" spans="1:3">
      <c r="A129" t="s">
        <v>972</v>
      </c>
      <c r="B129" t="s">
        <v>496</v>
      </c>
      <c r="C129" s="12">
        <v>5000000</v>
      </c>
    </row>
    <row r="130" spans="1:3">
      <c r="A130" t="s">
        <v>972</v>
      </c>
      <c r="B130" t="s">
        <v>496</v>
      </c>
      <c r="C130" s="12">
        <v>5000000</v>
      </c>
    </row>
    <row r="131" spans="1:3">
      <c r="A131" t="s">
        <v>972</v>
      </c>
      <c r="B131" t="s">
        <v>496</v>
      </c>
      <c r="C131" s="12">
        <v>5000000</v>
      </c>
    </row>
    <row r="132" spans="1:3">
      <c r="A132" t="s">
        <v>972</v>
      </c>
      <c r="B132" t="s">
        <v>496</v>
      </c>
      <c r="C132" s="12">
        <v>5000000</v>
      </c>
    </row>
    <row r="133" spans="1:3">
      <c r="A133" t="s">
        <v>972</v>
      </c>
      <c r="B133" t="s">
        <v>496</v>
      </c>
      <c r="C133" s="12">
        <v>5000000</v>
      </c>
    </row>
    <row r="134" spans="1:3">
      <c r="A134" t="s">
        <v>972</v>
      </c>
      <c r="B134" t="s">
        <v>496</v>
      </c>
      <c r="C134" s="12">
        <v>5000000</v>
      </c>
    </row>
    <row r="135" spans="1:3">
      <c r="A135" t="s">
        <v>972</v>
      </c>
      <c r="B135" t="s">
        <v>496</v>
      </c>
      <c r="C135" s="12">
        <v>5000000</v>
      </c>
    </row>
    <row r="136" spans="1:3">
      <c r="A136" t="s">
        <v>972</v>
      </c>
      <c r="B136" t="s">
        <v>496</v>
      </c>
      <c r="C136" s="12">
        <v>5000000</v>
      </c>
    </row>
    <row r="137" spans="1:3">
      <c r="A137" t="s">
        <v>954</v>
      </c>
      <c r="B137" t="s">
        <v>496</v>
      </c>
      <c r="C137" s="12">
        <v>5000000</v>
      </c>
    </row>
    <row r="138" spans="1:3">
      <c r="A138" t="s">
        <v>954</v>
      </c>
      <c r="B138" t="s">
        <v>496</v>
      </c>
      <c r="C138" s="12">
        <v>5000000</v>
      </c>
    </row>
    <row r="139" spans="1:3">
      <c r="A139" t="s">
        <v>974</v>
      </c>
      <c r="B139" t="s">
        <v>486</v>
      </c>
      <c r="C139" s="12">
        <v>10000000</v>
      </c>
    </row>
    <row r="140" spans="1:3">
      <c r="A140" t="s">
        <v>972</v>
      </c>
      <c r="B140" t="s">
        <v>486</v>
      </c>
      <c r="C140" s="12">
        <v>10000000</v>
      </c>
    </row>
    <row r="141" spans="1:3">
      <c r="A141" t="s">
        <v>972</v>
      </c>
      <c r="B141" t="s">
        <v>486</v>
      </c>
      <c r="C141" s="12">
        <v>10000000</v>
      </c>
    </row>
    <row r="142" spans="1:3">
      <c r="A142" t="s">
        <v>972</v>
      </c>
      <c r="B142" t="s">
        <v>486</v>
      </c>
      <c r="C142" s="12">
        <v>10000000</v>
      </c>
    </row>
    <row r="143" spans="1:3">
      <c r="A143" t="s">
        <v>972</v>
      </c>
      <c r="B143" t="s">
        <v>486</v>
      </c>
      <c r="C143" s="12">
        <v>10000000</v>
      </c>
    </row>
    <row r="144" spans="1:3">
      <c r="A144" t="s">
        <v>972</v>
      </c>
      <c r="B144" t="s">
        <v>486</v>
      </c>
      <c r="C144" s="12">
        <v>10000000</v>
      </c>
    </row>
    <row r="145" spans="1:4">
      <c r="A145" t="s">
        <v>954</v>
      </c>
      <c r="B145" t="s">
        <v>486</v>
      </c>
      <c r="C145" s="12">
        <v>10000000</v>
      </c>
    </row>
    <row r="146" spans="1:4">
      <c r="A146" t="s">
        <v>954</v>
      </c>
      <c r="B146" t="s">
        <v>486</v>
      </c>
      <c r="C146" s="12">
        <v>10000000</v>
      </c>
    </row>
    <row r="148" spans="1:4">
      <c r="C148" s="13">
        <v>2013</v>
      </c>
      <c r="D148" s="1">
        <v>2012</v>
      </c>
    </row>
    <row r="149" spans="1:4">
      <c r="A149" t="s">
        <v>965</v>
      </c>
      <c r="C149" s="12">
        <f>SUM(C4:C146)</f>
        <v>342815000</v>
      </c>
      <c r="D149" s="12">
        <v>342870000</v>
      </c>
    </row>
    <row r="150" spans="1:4">
      <c r="A150" t="s">
        <v>966</v>
      </c>
      <c r="C150" s="12">
        <f>C149/143</f>
        <v>2397307.6923076925</v>
      </c>
      <c r="D150" s="12">
        <v>2539778</v>
      </c>
    </row>
    <row r="151" spans="1:4">
      <c r="A151" t="s">
        <v>969</v>
      </c>
      <c r="C151" s="12">
        <v>300000</v>
      </c>
      <c r="D151" s="12">
        <v>300000</v>
      </c>
    </row>
    <row r="153" spans="1:4">
      <c r="A153" t="s">
        <v>1405</v>
      </c>
      <c r="C153" s="14">
        <f>C149-C145-C144-C138-C137-C79-C78</f>
        <v>312215000</v>
      </c>
    </row>
    <row r="154" spans="1:4">
      <c r="A154" t="s">
        <v>1404</v>
      </c>
      <c r="C154" s="14">
        <f>C153/137</f>
        <v>2278941.6058394159</v>
      </c>
    </row>
  </sheetData>
  <sortState ref="A4:C146">
    <sortCondition ref="C4:C146"/>
    <sortCondition ref="A4:A146"/>
  </sortState>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I105"/>
  <sheetViews>
    <sheetView workbookViewId="0"/>
  </sheetViews>
  <sheetFormatPr defaultRowHeight="14.4"/>
  <cols>
    <col min="1" max="1" width="16.109375" customWidth="1"/>
    <col min="2" max="410" width="11.33203125" customWidth="1"/>
  </cols>
  <sheetData>
    <row r="1" spans="1:9">
      <c r="A1" s="3" t="s">
        <v>1416</v>
      </c>
    </row>
    <row r="3" spans="1:9">
      <c r="A3" t="s">
        <v>974</v>
      </c>
      <c r="B3" t="s">
        <v>519</v>
      </c>
      <c r="D3" t="s">
        <v>1091</v>
      </c>
    </row>
    <row r="4" spans="1:9">
      <c r="A4" t="s">
        <v>974</v>
      </c>
      <c r="B4" t="s">
        <v>488</v>
      </c>
    </row>
    <row r="5" spans="1:9">
      <c r="A5" t="s">
        <v>974</v>
      </c>
      <c r="B5" t="s">
        <v>488</v>
      </c>
      <c r="D5" t="s">
        <v>1024</v>
      </c>
      <c r="E5">
        <v>39</v>
      </c>
    </row>
    <row r="6" spans="1:9">
      <c r="A6" t="s">
        <v>974</v>
      </c>
      <c r="B6" t="s">
        <v>488</v>
      </c>
      <c r="D6" t="s">
        <v>1025</v>
      </c>
      <c r="E6">
        <v>55</v>
      </c>
    </row>
    <row r="7" spans="1:9">
      <c r="A7" t="s">
        <v>974</v>
      </c>
      <c r="B7" t="s">
        <v>488</v>
      </c>
      <c r="D7" t="s">
        <v>1026</v>
      </c>
      <c r="E7">
        <v>9</v>
      </c>
    </row>
    <row r="8" spans="1:9">
      <c r="A8" t="s">
        <v>974</v>
      </c>
      <c r="B8" t="s">
        <v>488</v>
      </c>
      <c r="E8" s="3">
        <f>SUM(E5:E7)</f>
        <v>103</v>
      </c>
    </row>
    <row r="9" spans="1:9">
      <c r="A9" t="s">
        <v>974</v>
      </c>
      <c r="B9" t="s">
        <v>488</v>
      </c>
    </row>
    <row r="10" spans="1:9">
      <c r="A10" t="s">
        <v>974</v>
      </c>
      <c r="B10" t="s">
        <v>488</v>
      </c>
      <c r="D10" t="s">
        <v>1095</v>
      </c>
    </row>
    <row r="11" spans="1:9">
      <c r="A11" t="s">
        <v>974</v>
      </c>
      <c r="B11" t="s">
        <v>488</v>
      </c>
      <c r="E11" t="s">
        <v>1098</v>
      </c>
      <c r="F11" t="s">
        <v>1099</v>
      </c>
      <c r="G11" t="s">
        <v>1100</v>
      </c>
      <c r="H11" t="s">
        <v>1101</v>
      </c>
    </row>
    <row r="12" spans="1:9">
      <c r="A12" t="s">
        <v>974</v>
      </c>
      <c r="B12" t="s">
        <v>488</v>
      </c>
      <c r="D12" t="s">
        <v>1024</v>
      </c>
      <c r="E12">
        <v>13</v>
      </c>
      <c r="F12">
        <v>3</v>
      </c>
      <c r="G12">
        <v>19</v>
      </c>
      <c r="H12">
        <v>4</v>
      </c>
    </row>
    <row r="13" spans="1:9">
      <c r="A13" t="s">
        <v>974</v>
      </c>
      <c r="B13" t="s">
        <v>488</v>
      </c>
      <c r="D13" t="s">
        <v>1025</v>
      </c>
      <c r="E13">
        <v>16</v>
      </c>
      <c r="F13">
        <v>3</v>
      </c>
      <c r="G13">
        <v>35</v>
      </c>
      <c r="H13">
        <v>1</v>
      </c>
    </row>
    <row r="14" spans="1:9">
      <c r="A14" t="s">
        <v>974</v>
      </c>
      <c r="B14" t="s">
        <v>488</v>
      </c>
      <c r="D14" t="s">
        <v>1026</v>
      </c>
      <c r="E14">
        <v>1</v>
      </c>
      <c r="F14">
        <v>1</v>
      </c>
      <c r="G14">
        <v>7</v>
      </c>
      <c r="H14">
        <v>0</v>
      </c>
    </row>
    <row r="15" spans="1:9">
      <c r="A15" t="s">
        <v>974</v>
      </c>
      <c r="B15" t="s">
        <v>488</v>
      </c>
      <c r="E15" s="3">
        <f>SUM(E12:E14)</f>
        <v>30</v>
      </c>
      <c r="F15" s="3">
        <f>SUM(F12:F14)</f>
        <v>7</v>
      </c>
      <c r="G15" s="3">
        <f>SUM(G12:G14)</f>
        <v>61</v>
      </c>
      <c r="H15" s="3">
        <f>SUM(H12:H14)</f>
        <v>5</v>
      </c>
      <c r="I15" s="3">
        <f>SUM(E15:H15)</f>
        <v>103</v>
      </c>
    </row>
    <row r="16" spans="1:9">
      <c r="A16" t="s">
        <v>974</v>
      </c>
      <c r="B16" t="s">
        <v>488</v>
      </c>
    </row>
    <row r="17" spans="1:2">
      <c r="A17" t="s">
        <v>974</v>
      </c>
      <c r="B17" t="s">
        <v>488</v>
      </c>
    </row>
    <row r="18" spans="1:2">
      <c r="A18" t="s">
        <v>974</v>
      </c>
      <c r="B18" t="s">
        <v>488</v>
      </c>
    </row>
    <row r="19" spans="1:2">
      <c r="A19" t="s">
        <v>974</v>
      </c>
      <c r="B19" t="s">
        <v>488</v>
      </c>
    </row>
    <row r="20" spans="1:2">
      <c r="A20" t="s">
        <v>974</v>
      </c>
      <c r="B20" t="s">
        <v>487</v>
      </c>
    </row>
    <row r="21" spans="1:2">
      <c r="A21" t="s">
        <v>974</v>
      </c>
      <c r="B21" t="s">
        <v>487</v>
      </c>
    </row>
    <row r="22" spans="1:2">
      <c r="A22" t="s">
        <v>974</v>
      </c>
      <c r="B22" t="s">
        <v>487</v>
      </c>
    </row>
    <row r="23" spans="1:2">
      <c r="A23" t="s">
        <v>974</v>
      </c>
      <c r="B23" t="s">
        <v>487</v>
      </c>
    </row>
    <row r="24" spans="1:2">
      <c r="A24" t="s">
        <v>974</v>
      </c>
      <c r="B24" t="s">
        <v>487</v>
      </c>
    </row>
    <row r="25" spans="1:2">
      <c r="A25" t="s">
        <v>974</v>
      </c>
      <c r="B25" t="s">
        <v>487</v>
      </c>
    </row>
    <row r="26" spans="1:2">
      <c r="A26" t="s">
        <v>974</v>
      </c>
      <c r="B26" t="s">
        <v>487</v>
      </c>
    </row>
    <row r="27" spans="1:2">
      <c r="A27" t="s">
        <v>974</v>
      </c>
      <c r="B27" t="s">
        <v>487</v>
      </c>
    </row>
    <row r="28" spans="1:2">
      <c r="A28" t="s">
        <v>974</v>
      </c>
      <c r="B28" t="s">
        <v>487</v>
      </c>
    </row>
    <row r="29" spans="1:2">
      <c r="A29" t="s">
        <v>974</v>
      </c>
      <c r="B29" t="s">
        <v>487</v>
      </c>
    </row>
    <row r="30" spans="1:2">
      <c r="A30" t="s">
        <v>974</v>
      </c>
      <c r="B30" t="s">
        <v>487</v>
      </c>
    </row>
    <row r="31" spans="1:2">
      <c r="A31" t="s">
        <v>974</v>
      </c>
      <c r="B31" t="s">
        <v>487</v>
      </c>
    </row>
    <row r="32" spans="1:2">
      <c r="A32" t="s">
        <v>974</v>
      </c>
      <c r="B32" t="s">
        <v>487</v>
      </c>
    </row>
    <row r="33" spans="1:2">
      <c r="A33" t="s">
        <v>973</v>
      </c>
      <c r="B33" t="s">
        <v>519</v>
      </c>
    </row>
    <row r="34" spans="1:2">
      <c r="A34" t="s">
        <v>973</v>
      </c>
      <c r="B34" t="s">
        <v>488</v>
      </c>
    </row>
    <row r="35" spans="1:2">
      <c r="A35" t="s">
        <v>973</v>
      </c>
      <c r="B35" t="s">
        <v>488</v>
      </c>
    </row>
    <row r="36" spans="1:2">
      <c r="A36" t="s">
        <v>973</v>
      </c>
      <c r="B36" t="s">
        <v>488</v>
      </c>
    </row>
    <row r="37" spans="1:2">
      <c r="A37" t="s">
        <v>973</v>
      </c>
      <c r="B37" t="s">
        <v>487</v>
      </c>
    </row>
    <row r="38" spans="1:2">
      <c r="A38" t="s">
        <v>973</v>
      </c>
      <c r="B38" t="s">
        <v>487</v>
      </c>
    </row>
    <row r="39" spans="1:2">
      <c r="A39" t="s">
        <v>973</v>
      </c>
      <c r="B39" t="s">
        <v>487</v>
      </c>
    </row>
    <row r="40" spans="1:2">
      <c r="A40" t="s">
        <v>972</v>
      </c>
      <c r="B40" t="s">
        <v>519</v>
      </c>
    </row>
    <row r="41" spans="1:2">
      <c r="A41" t="s">
        <v>972</v>
      </c>
      <c r="B41" t="s">
        <v>519</v>
      </c>
    </row>
    <row r="42" spans="1:2">
      <c r="A42" t="s">
        <v>972</v>
      </c>
      <c r="B42" t="s">
        <v>519</v>
      </c>
    </row>
    <row r="43" spans="1:2">
      <c r="A43" t="s">
        <v>972</v>
      </c>
      <c r="B43" t="s">
        <v>519</v>
      </c>
    </row>
    <row r="44" spans="1:2">
      <c r="A44" t="s">
        <v>972</v>
      </c>
      <c r="B44" t="s">
        <v>519</v>
      </c>
    </row>
    <row r="45" spans="1:2">
      <c r="A45" t="s">
        <v>972</v>
      </c>
      <c r="B45" t="s">
        <v>519</v>
      </c>
    </row>
    <row r="46" spans="1:2">
      <c r="A46" t="s">
        <v>972</v>
      </c>
      <c r="B46" t="s">
        <v>519</v>
      </c>
    </row>
    <row r="47" spans="1:2">
      <c r="A47" t="s">
        <v>972</v>
      </c>
      <c r="B47" t="s">
        <v>488</v>
      </c>
    </row>
    <row r="48" spans="1:2">
      <c r="A48" t="s">
        <v>972</v>
      </c>
      <c r="B48" t="s">
        <v>488</v>
      </c>
    </row>
    <row r="49" spans="1:2">
      <c r="A49" t="s">
        <v>972</v>
      </c>
      <c r="B49" t="s">
        <v>488</v>
      </c>
    </row>
    <row r="50" spans="1:2">
      <c r="A50" t="s">
        <v>972</v>
      </c>
      <c r="B50" t="s">
        <v>488</v>
      </c>
    </row>
    <row r="51" spans="1:2">
      <c r="A51" t="s">
        <v>972</v>
      </c>
      <c r="B51" t="s">
        <v>488</v>
      </c>
    </row>
    <row r="52" spans="1:2">
      <c r="A52" t="s">
        <v>972</v>
      </c>
      <c r="B52" t="s">
        <v>488</v>
      </c>
    </row>
    <row r="53" spans="1:2">
      <c r="A53" t="s">
        <v>972</v>
      </c>
      <c r="B53" t="s">
        <v>488</v>
      </c>
    </row>
    <row r="54" spans="1:2">
      <c r="A54" t="s">
        <v>972</v>
      </c>
      <c r="B54" t="s">
        <v>488</v>
      </c>
    </row>
    <row r="55" spans="1:2">
      <c r="A55" t="s">
        <v>972</v>
      </c>
      <c r="B55" t="s">
        <v>488</v>
      </c>
    </row>
    <row r="56" spans="1:2">
      <c r="A56" t="s">
        <v>972</v>
      </c>
      <c r="B56" t="s">
        <v>488</v>
      </c>
    </row>
    <row r="57" spans="1:2">
      <c r="A57" t="s">
        <v>972</v>
      </c>
      <c r="B57" t="s">
        <v>488</v>
      </c>
    </row>
    <row r="58" spans="1:2">
      <c r="A58" t="s">
        <v>972</v>
      </c>
      <c r="B58" t="s">
        <v>488</v>
      </c>
    </row>
    <row r="59" spans="1:2">
      <c r="A59" t="s">
        <v>972</v>
      </c>
      <c r="B59" t="s">
        <v>488</v>
      </c>
    </row>
    <row r="60" spans="1:2">
      <c r="A60" t="s">
        <v>972</v>
      </c>
      <c r="B60" t="s">
        <v>488</v>
      </c>
    </row>
    <row r="61" spans="1:2">
      <c r="A61" t="s">
        <v>972</v>
      </c>
      <c r="B61" t="s">
        <v>488</v>
      </c>
    </row>
    <row r="62" spans="1:2">
      <c r="A62" t="s">
        <v>972</v>
      </c>
      <c r="B62" t="s">
        <v>488</v>
      </c>
    </row>
    <row r="63" spans="1:2">
      <c r="A63" t="s">
        <v>972</v>
      </c>
      <c r="B63" t="s">
        <v>488</v>
      </c>
    </row>
    <row r="64" spans="1:2">
      <c r="A64" t="s">
        <v>972</v>
      </c>
      <c r="B64" t="s">
        <v>488</v>
      </c>
    </row>
    <row r="65" spans="1:2">
      <c r="A65" t="s">
        <v>972</v>
      </c>
      <c r="B65" t="s">
        <v>488</v>
      </c>
    </row>
    <row r="66" spans="1:2">
      <c r="A66" t="s">
        <v>972</v>
      </c>
      <c r="B66" t="s">
        <v>488</v>
      </c>
    </row>
    <row r="67" spans="1:2">
      <c r="A67" t="s">
        <v>972</v>
      </c>
      <c r="B67" t="s">
        <v>488</v>
      </c>
    </row>
    <row r="68" spans="1:2">
      <c r="A68" t="s">
        <v>972</v>
      </c>
      <c r="B68" t="s">
        <v>488</v>
      </c>
    </row>
    <row r="69" spans="1:2">
      <c r="A69" t="s">
        <v>972</v>
      </c>
      <c r="B69" t="s">
        <v>488</v>
      </c>
    </row>
    <row r="70" spans="1:2">
      <c r="A70" t="s">
        <v>972</v>
      </c>
      <c r="B70" t="s">
        <v>488</v>
      </c>
    </row>
    <row r="71" spans="1:2">
      <c r="A71" t="s">
        <v>972</v>
      </c>
      <c r="B71" t="s">
        <v>488</v>
      </c>
    </row>
    <row r="72" spans="1:2">
      <c r="A72" t="s">
        <v>972</v>
      </c>
      <c r="B72" t="s">
        <v>488</v>
      </c>
    </row>
    <row r="73" spans="1:2">
      <c r="A73" t="s">
        <v>972</v>
      </c>
      <c r="B73" t="s">
        <v>488</v>
      </c>
    </row>
    <row r="74" spans="1:2">
      <c r="A74" t="s">
        <v>972</v>
      </c>
      <c r="B74" t="s">
        <v>488</v>
      </c>
    </row>
    <row r="75" spans="1:2">
      <c r="A75" t="s">
        <v>972</v>
      </c>
      <c r="B75" t="s">
        <v>488</v>
      </c>
    </row>
    <row r="76" spans="1:2">
      <c r="A76" t="s">
        <v>972</v>
      </c>
      <c r="B76" t="s">
        <v>488</v>
      </c>
    </row>
    <row r="77" spans="1:2">
      <c r="A77" t="s">
        <v>972</v>
      </c>
      <c r="B77" t="s">
        <v>488</v>
      </c>
    </row>
    <row r="78" spans="1:2">
      <c r="A78" t="s">
        <v>972</v>
      </c>
      <c r="B78" t="s">
        <v>488</v>
      </c>
    </row>
    <row r="79" spans="1:2">
      <c r="A79" t="s">
        <v>972</v>
      </c>
      <c r="B79" t="s">
        <v>488</v>
      </c>
    </row>
    <row r="80" spans="1:2">
      <c r="A80" t="s">
        <v>972</v>
      </c>
      <c r="B80" t="s">
        <v>488</v>
      </c>
    </row>
    <row r="81" spans="1:2">
      <c r="A81" t="s">
        <v>972</v>
      </c>
      <c r="B81" t="s">
        <v>488</v>
      </c>
    </row>
    <row r="82" spans="1:2">
      <c r="A82" t="s">
        <v>972</v>
      </c>
      <c r="B82" t="s">
        <v>487</v>
      </c>
    </row>
    <row r="83" spans="1:2">
      <c r="A83" t="s">
        <v>972</v>
      </c>
      <c r="B83" t="s">
        <v>487</v>
      </c>
    </row>
    <row r="84" spans="1:2">
      <c r="A84" t="s">
        <v>972</v>
      </c>
      <c r="B84" t="s">
        <v>487</v>
      </c>
    </row>
    <row r="85" spans="1:2">
      <c r="A85" t="s">
        <v>972</v>
      </c>
      <c r="B85" t="s">
        <v>487</v>
      </c>
    </row>
    <row r="86" spans="1:2">
      <c r="A86" t="s">
        <v>972</v>
      </c>
      <c r="B86" t="s">
        <v>487</v>
      </c>
    </row>
    <row r="87" spans="1:2">
      <c r="A87" t="s">
        <v>972</v>
      </c>
      <c r="B87" t="s">
        <v>487</v>
      </c>
    </row>
    <row r="88" spans="1:2">
      <c r="A88" t="s">
        <v>972</v>
      </c>
      <c r="B88" t="s">
        <v>487</v>
      </c>
    </row>
    <row r="89" spans="1:2">
      <c r="A89" t="s">
        <v>972</v>
      </c>
      <c r="B89" t="s">
        <v>487</v>
      </c>
    </row>
    <row r="90" spans="1:2">
      <c r="A90" t="s">
        <v>972</v>
      </c>
      <c r="B90" t="s">
        <v>487</v>
      </c>
    </row>
    <row r="91" spans="1:2">
      <c r="A91" t="s">
        <v>972</v>
      </c>
      <c r="B91" t="s">
        <v>487</v>
      </c>
    </row>
    <row r="92" spans="1:2">
      <c r="A92" t="s">
        <v>972</v>
      </c>
      <c r="B92" t="s">
        <v>487</v>
      </c>
    </row>
    <row r="93" spans="1:2">
      <c r="A93" t="s">
        <v>972</v>
      </c>
      <c r="B93" t="s">
        <v>487</v>
      </c>
    </row>
    <row r="94" spans="1:2">
      <c r="A94" t="s">
        <v>972</v>
      </c>
      <c r="B94" t="s">
        <v>487</v>
      </c>
    </row>
    <row r="95" spans="1:2">
      <c r="A95" t="s">
        <v>972</v>
      </c>
      <c r="B95" t="s">
        <v>487</v>
      </c>
    </row>
    <row r="96" spans="1:2">
      <c r="A96" t="s">
        <v>972</v>
      </c>
      <c r="B96" t="s">
        <v>487</v>
      </c>
    </row>
    <row r="97" spans="1:2">
      <c r="A97" t="s">
        <v>972</v>
      </c>
      <c r="B97" t="s">
        <v>487</v>
      </c>
    </row>
    <row r="98" spans="1:2">
      <c r="A98" t="s">
        <v>972</v>
      </c>
      <c r="B98" t="s">
        <v>487</v>
      </c>
    </row>
    <row r="99" spans="1:2">
      <c r="A99" t="s">
        <v>972</v>
      </c>
      <c r="B99" t="s">
        <v>487</v>
      </c>
    </row>
    <row r="100" spans="1:2">
      <c r="A100" t="s">
        <v>972</v>
      </c>
      <c r="B100" t="s">
        <v>487</v>
      </c>
    </row>
    <row r="101" spans="1:2">
      <c r="A101" t="s">
        <v>954</v>
      </c>
      <c r="B101" t="s">
        <v>488</v>
      </c>
    </row>
    <row r="102" spans="1:2">
      <c r="A102" t="s">
        <v>954</v>
      </c>
      <c r="B102" t="s">
        <v>487</v>
      </c>
    </row>
    <row r="103" spans="1:2">
      <c r="A103" t="s">
        <v>954</v>
      </c>
      <c r="B103" t="s">
        <v>487</v>
      </c>
    </row>
    <row r="104" spans="1:2">
      <c r="A104" t="s">
        <v>954</v>
      </c>
      <c r="B104" t="s">
        <v>487</v>
      </c>
    </row>
    <row r="105" spans="1:2">
      <c r="A105" t="s">
        <v>954</v>
      </c>
      <c r="B105" t="s">
        <v>487</v>
      </c>
    </row>
  </sheetData>
  <sortState ref="A3:B105">
    <sortCondition ref="A3:A105"/>
  </sortState>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dimension ref="A1:J105"/>
  <sheetViews>
    <sheetView workbookViewId="0"/>
  </sheetViews>
  <sheetFormatPr defaultRowHeight="14.4"/>
  <cols>
    <col min="1" max="1" width="12.44140625" customWidth="1"/>
    <col min="2" max="2" width="12.88671875" customWidth="1"/>
  </cols>
  <sheetData>
    <row r="1" spans="1:10">
      <c r="A1" s="3" t="s">
        <v>1417</v>
      </c>
    </row>
    <row r="3" spans="1:10">
      <c r="A3" t="s">
        <v>974</v>
      </c>
      <c r="B3" t="s">
        <v>519</v>
      </c>
      <c r="E3" t="s">
        <v>1091</v>
      </c>
    </row>
    <row r="4" spans="1:10">
      <c r="A4" t="s">
        <v>974</v>
      </c>
      <c r="B4" t="s">
        <v>488</v>
      </c>
    </row>
    <row r="5" spans="1:10">
      <c r="A5" t="s">
        <v>974</v>
      </c>
      <c r="B5" t="s">
        <v>488</v>
      </c>
      <c r="E5" t="s">
        <v>1024</v>
      </c>
      <c r="F5">
        <v>55</v>
      </c>
    </row>
    <row r="6" spans="1:10">
      <c r="A6" t="s">
        <v>974</v>
      </c>
      <c r="B6" t="s">
        <v>488</v>
      </c>
      <c r="E6" t="s">
        <v>1025</v>
      </c>
      <c r="F6">
        <v>44</v>
      </c>
    </row>
    <row r="7" spans="1:10">
      <c r="A7" t="s">
        <v>974</v>
      </c>
      <c r="B7" t="s">
        <v>488</v>
      </c>
      <c r="E7" t="s">
        <v>1026</v>
      </c>
      <c r="F7">
        <v>4</v>
      </c>
    </row>
    <row r="8" spans="1:10">
      <c r="A8" t="s">
        <v>974</v>
      </c>
      <c r="B8" t="s">
        <v>488</v>
      </c>
      <c r="F8" s="3">
        <f>SUM(F5:F7)</f>
        <v>103</v>
      </c>
    </row>
    <row r="9" spans="1:10">
      <c r="A9" t="s">
        <v>974</v>
      </c>
      <c r="B9" t="s">
        <v>488</v>
      </c>
    </row>
    <row r="10" spans="1:10">
      <c r="A10" t="s">
        <v>974</v>
      </c>
      <c r="B10" t="s">
        <v>487</v>
      </c>
      <c r="E10" t="s">
        <v>1095</v>
      </c>
    </row>
    <row r="11" spans="1:10">
      <c r="A11" t="s">
        <v>974</v>
      </c>
      <c r="B11" t="s">
        <v>487</v>
      </c>
      <c r="F11" t="s">
        <v>1098</v>
      </c>
      <c r="G11" t="s">
        <v>1099</v>
      </c>
      <c r="H11" t="s">
        <v>1100</v>
      </c>
      <c r="I11" t="s">
        <v>1101</v>
      </c>
    </row>
    <row r="12" spans="1:10">
      <c r="A12" t="s">
        <v>974</v>
      </c>
      <c r="B12" t="s">
        <v>487</v>
      </c>
      <c r="E12" t="s">
        <v>1024</v>
      </c>
      <c r="F12">
        <v>23</v>
      </c>
      <c r="G12">
        <v>3</v>
      </c>
      <c r="H12">
        <v>25</v>
      </c>
      <c r="I12">
        <v>3</v>
      </c>
    </row>
    <row r="13" spans="1:10">
      <c r="A13" t="s">
        <v>974</v>
      </c>
      <c r="B13" t="s">
        <v>487</v>
      </c>
      <c r="E13" t="s">
        <v>1025</v>
      </c>
      <c r="F13">
        <v>6</v>
      </c>
      <c r="G13">
        <v>4</v>
      </c>
      <c r="H13">
        <v>34</v>
      </c>
      <c r="I13">
        <v>1</v>
      </c>
    </row>
    <row r="14" spans="1:10">
      <c r="A14" t="s">
        <v>974</v>
      </c>
      <c r="B14" t="s">
        <v>487</v>
      </c>
      <c r="E14" t="s">
        <v>1026</v>
      </c>
      <c r="F14">
        <v>1</v>
      </c>
      <c r="G14">
        <v>0</v>
      </c>
      <c r="H14">
        <v>2</v>
      </c>
      <c r="I14">
        <v>1</v>
      </c>
    </row>
    <row r="15" spans="1:10">
      <c r="A15" t="s">
        <v>974</v>
      </c>
      <c r="B15" t="s">
        <v>487</v>
      </c>
      <c r="F15" s="3">
        <f>SUM(F12:F14)</f>
        <v>30</v>
      </c>
      <c r="G15" s="3">
        <f>SUM(G12:G14)</f>
        <v>7</v>
      </c>
      <c r="H15" s="3">
        <f>SUM(H12:H14)</f>
        <v>61</v>
      </c>
      <c r="I15" s="3">
        <f>SUM(I12:I14)</f>
        <v>5</v>
      </c>
      <c r="J15" s="3">
        <f>SUM(F15:I15)</f>
        <v>103</v>
      </c>
    </row>
    <row r="16" spans="1:10">
      <c r="A16" t="s">
        <v>974</v>
      </c>
      <c r="B16" t="s">
        <v>487</v>
      </c>
    </row>
    <row r="17" spans="1:2">
      <c r="A17" t="s">
        <v>974</v>
      </c>
      <c r="B17" t="s">
        <v>487</v>
      </c>
    </row>
    <row r="18" spans="1:2">
      <c r="A18" t="s">
        <v>974</v>
      </c>
      <c r="B18" t="s">
        <v>487</v>
      </c>
    </row>
    <row r="19" spans="1:2">
      <c r="A19" t="s">
        <v>974</v>
      </c>
      <c r="B19" t="s">
        <v>487</v>
      </c>
    </row>
    <row r="20" spans="1:2">
      <c r="A20" t="s">
        <v>974</v>
      </c>
      <c r="B20" t="s">
        <v>487</v>
      </c>
    </row>
    <row r="21" spans="1:2">
      <c r="A21" t="s">
        <v>974</v>
      </c>
      <c r="B21" t="s">
        <v>487</v>
      </c>
    </row>
    <row r="22" spans="1:2">
      <c r="A22" t="s">
        <v>974</v>
      </c>
      <c r="B22" t="s">
        <v>487</v>
      </c>
    </row>
    <row r="23" spans="1:2">
      <c r="A23" t="s">
        <v>974</v>
      </c>
      <c r="B23" t="s">
        <v>487</v>
      </c>
    </row>
    <row r="24" spans="1:2">
      <c r="A24" t="s">
        <v>974</v>
      </c>
      <c r="B24" t="s">
        <v>487</v>
      </c>
    </row>
    <row r="25" spans="1:2">
      <c r="A25" t="s">
        <v>974</v>
      </c>
      <c r="B25" t="s">
        <v>487</v>
      </c>
    </row>
    <row r="26" spans="1:2">
      <c r="A26" t="s">
        <v>974</v>
      </c>
      <c r="B26" t="s">
        <v>487</v>
      </c>
    </row>
    <row r="27" spans="1:2">
      <c r="A27" t="s">
        <v>974</v>
      </c>
      <c r="B27" t="s">
        <v>487</v>
      </c>
    </row>
    <row r="28" spans="1:2">
      <c r="A28" t="s">
        <v>974</v>
      </c>
      <c r="B28" t="s">
        <v>487</v>
      </c>
    </row>
    <row r="29" spans="1:2">
      <c r="A29" t="s">
        <v>974</v>
      </c>
      <c r="B29" t="s">
        <v>487</v>
      </c>
    </row>
    <row r="30" spans="1:2">
      <c r="A30" t="s">
        <v>974</v>
      </c>
      <c r="B30" t="s">
        <v>487</v>
      </c>
    </row>
    <row r="31" spans="1:2">
      <c r="A31" t="s">
        <v>974</v>
      </c>
      <c r="B31" t="s">
        <v>487</v>
      </c>
    </row>
    <row r="32" spans="1:2">
      <c r="A32" t="s">
        <v>974</v>
      </c>
      <c r="B32" t="s">
        <v>487</v>
      </c>
    </row>
    <row r="33" spans="1:2">
      <c r="A33" t="s">
        <v>973</v>
      </c>
      <c r="B33" t="s">
        <v>488</v>
      </c>
    </row>
    <row r="34" spans="1:2">
      <c r="A34" t="s">
        <v>973</v>
      </c>
      <c r="B34" t="s">
        <v>488</v>
      </c>
    </row>
    <row r="35" spans="1:2">
      <c r="A35" t="s">
        <v>973</v>
      </c>
      <c r="B35" t="s">
        <v>488</v>
      </c>
    </row>
    <row r="36" spans="1:2">
      <c r="A36" t="s">
        <v>973</v>
      </c>
      <c r="B36" t="s">
        <v>487</v>
      </c>
    </row>
    <row r="37" spans="1:2">
      <c r="A37" t="s">
        <v>973</v>
      </c>
      <c r="B37" t="s">
        <v>487</v>
      </c>
    </row>
    <row r="38" spans="1:2">
      <c r="A38" t="s">
        <v>973</v>
      </c>
      <c r="B38" t="s">
        <v>487</v>
      </c>
    </row>
    <row r="39" spans="1:2">
      <c r="A39" t="s">
        <v>973</v>
      </c>
      <c r="B39" t="s">
        <v>487</v>
      </c>
    </row>
    <row r="40" spans="1:2">
      <c r="A40" t="s">
        <v>972</v>
      </c>
      <c r="B40" t="s">
        <v>519</v>
      </c>
    </row>
    <row r="41" spans="1:2">
      <c r="A41" t="s">
        <v>972</v>
      </c>
      <c r="B41" t="s">
        <v>519</v>
      </c>
    </row>
    <row r="42" spans="1:2">
      <c r="A42" t="s">
        <v>972</v>
      </c>
      <c r="B42" t="s">
        <v>488</v>
      </c>
    </row>
    <row r="43" spans="1:2">
      <c r="A43" t="s">
        <v>972</v>
      </c>
      <c r="B43" t="s">
        <v>488</v>
      </c>
    </row>
    <row r="44" spans="1:2">
      <c r="A44" t="s">
        <v>972</v>
      </c>
      <c r="B44" t="s">
        <v>488</v>
      </c>
    </row>
    <row r="45" spans="1:2">
      <c r="A45" t="s">
        <v>972</v>
      </c>
      <c r="B45" t="s">
        <v>488</v>
      </c>
    </row>
    <row r="46" spans="1:2">
      <c r="A46" t="s">
        <v>972</v>
      </c>
      <c r="B46" t="s">
        <v>488</v>
      </c>
    </row>
    <row r="47" spans="1:2">
      <c r="A47" t="s">
        <v>972</v>
      </c>
      <c r="B47" t="s">
        <v>488</v>
      </c>
    </row>
    <row r="48" spans="1:2">
      <c r="A48" t="s">
        <v>972</v>
      </c>
      <c r="B48" t="s">
        <v>488</v>
      </c>
    </row>
    <row r="49" spans="1:2">
      <c r="A49" t="s">
        <v>972</v>
      </c>
      <c r="B49" t="s">
        <v>488</v>
      </c>
    </row>
    <row r="50" spans="1:2">
      <c r="A50" t="s">
        <v>972</v>
      </c>
      <c r="B50" t="s">
        <v>488</v>
      </c>
    </row>
    <row r="51" spans="1:2">
      <c r="A51" t="s">
        <v>972</v>
      </c>
      <c r="B51" t="s">
        <v>488</v>
      </c>
    </row>
    <row r="52" spans="1:2">
      <c r="A52" t="s">
        <v>972</v>
      </c>
      <c r="B52" t="s">
        <v>488</v>
      </c>
    </row>
    <row r="53" spans="1:2">
      <c r="A53" t="s">
        <v>972</v>
      </c>
      <c r="B53" t="s">
        <v>488</v>
      </c>
    </row>
    <row r="54" spans="1:2">
      <c r="A54" t="s">
        <v>972</v>
      </c>
      <c r="B54" t="s">
        <v>488</v>
      </c>
    </row>
    <row r="55" spans="1:2">
      <c r="A55" t="s">
        <v>972</v>
      </c>
      <c r="B55" t="s">
        <v>488</v>
      </c>
    </row>
    <row r="56" spans="1:2">
      <c r="A56" t="s">
        <v>972</v>
      </c>
      <c r="B56" t="s">
        <v>488</v>
      </c>
    </row>
    <row r="57" spans="1:2">
      <c r="A57" t="s">
        <v>972</v>
      </c>
      <c r="B57" t="s">
        <v>488</v>
      </c>
    </row>
    <row r="58" spans="1:2">
      <c r="A58" t="s">
        <v>972</v>
      </c>
      <c r="B58" t="s">
        <v>488</v>
      </c>
    </row>
    <row r="59" spans="1:2">
      <c r="A59" t="s">
        <v>972</v>
      </c>
      <c r="B59" t="s">
        <v>488</v>
      </c>
    </row>
    <row r="60" spans="1:2">
      <c r="A60" t="s">
        <v>972</v>
      </c>
      <c r="B60" t="s">
        <v>488</v>
      </c>
    </row>
    <row r="61" spans="1:2">
      <c r="A61" t="s">
        <v>972</v>
      </c>
      <c r="B61" t="s">
        <v>488</v>
      </c>
    </row>
    <row r="62" spans="1:2">
      <c r="A62" t="s">
        <v>972</v>
      </c>
      <c r="B62" t="s">
        <v>488</v>
      </c>
    </row>
    <row r="63" spans="1:2">
      <c r="A63" t="s">
        <v>972</v>
      </c>
      <c r="B63" t="s">
        <v>488</v>
      </c>
    </row>
    <row r="64" spans="1:2">
      <c r="A64" t="s">
        <v>972</v>
      </c>
      <c r="B64" t="s">
        <v>488</v>
      </c>
    </row>
    <row r="65" spans="1:2">
      <c r="A65" t="s">
        <v>972</v>
      </c>
      <c r="B65" t="s">
        <v>488</v>
      </c>
    </row>
    <row r="66" spans="1:2">
      <c r="A66" t="s">
        <v>972</v>
      </c>
      <c r="B66" t="s">
        <v>488</v>
      </c>
    </row>
    <row r="67" spans="1:2">
      <c r="A67" t="s">
        <v>972</v>
      </c>
      <c r="B67" t="s">
        <v>488</v>
      </c>
    </row>
    <row r="68" spans="1:2">
      <c r="A68" t="s">
        <v>972</v>
      </c>
      <c r="B68" t="s">
        <v>488</v>
      </c>
    </row>
    <row r="69" spans="1:2">
      <c r="A69" t="s">
        <v>972</v>
      </c>
      <c r="B69" t="s">
        <v>488</v>
      </c>
    </row>
    <row r="70" spans="1:2">
      <c r="A70" t="s">
        <v>972</v>
      </c>
      <c r="B70" t="s">
        <v>488</v>
      </c>
    </row>
    <row r="71" spans="1:2">
      <c r="A71" t="s">
        <v>972</v>
      </c>
      <c r="B71" t="s">
        <v>488</v>
      </c>
    </row>
    <row r="72" spans="1:2">
      <c r="A72" t="s">
        <v>972</v>
      </c>
      <c r="B72" t="s">
        <v>488</v>
      </c>
    </row>
    <row r="73" spans="1:2">
      <c r="A73" t="s">
        <v>972</v>
      </c>
      <c r="B73" t="s">
        <v>488</v>
      </c>
    </row>
    <row r="74" spans="1:2">
      <c r="A74" t="s">
        <v>972</v>
      </c>
      <c r="B74" t="s">
        <v>488</v>
      </c>
    </row>
    <row r="75" spans="1:2">
      <c r="A75" t="s">
        <v>972</v>
      </c>
      <c r="B75" t="s">
        <v>488</v>
      </c>
    </row>
    <row r="76" spans="1:2">
      <c r="A76" t="s">
        <v>972</v>
      </c>
      <c r="B76" t="s">
        <v>487</v>
      </c>
    </row>
    <row r="77" spans="1:2">
      <c r="A77" t="s">
        <v>972</v>
      </c>
      <c r="B77" t="s">
        <v>487</v>
      </c>
    </row>
    <row r="78" spans="1:2">
      <c r="A78" t="s">
        <v>972</v>
      </c>
      <c r="B78" t="s">
        <v>487</v>
      </c>
    </row>
    <row r="79" spans="1:2">
      <c r="A79" t="s">
        <v>972</v>
      </c>
      <c r="B79" t="s">
        <v>487</v>
      </c>
    </row>
    <row r="80" spans="1:2">
      <c r="A80" t="s">
        <v>972</v>
      </c>
      <c r="B80" t="s">
        <v>487</v>
      </c>
    </row>
    <row r="81" spans="1:2">
      <c r="A81" t="s">
        <v>972</v>
      </c>
      <c r="B81" t="s">
        <v>487</v>
      </c>
    </row>
    <row r="82" spans="1:2">
      <c r="A82" t="s">
        <v>972</v>
      </c>
      <c r="B82" t="s">
        <v>487</v>
      </c>
    </row>
    <row r="83" spans="1:2">
      <c r="A83" t="s">
        <v>972</v>
      </c>
      <c r="B83" t="s">
        <v>487</v>
      </c>
    </row>
    <row r="84" spans="1:2">
      <c r="A84" t="s">
        <v>972</v>
      </c>
      <c r="B84" t="s">
        <v>487</v>
      </c>
    </row>
    <row r="85" spans="1:2">
      <c r="A85" t="s">
        <v>972</v>
      </c>
      <c r="B85" t="s">
        <v>487</v>
      </c>
    </row>
    <row r="86" spans="1:2">
      <c r="A86" t="s">
        <v>972</v>
      </c>
      <c r="B86" t="s">
        <v>487</v>
      </c>
    </row>
    <row r="87" spans="1:2">
      <c r="A87" t="s">
        <v>972</v>
      </c>
      <c r="B87" t="s">
        <v>487</v>
      </c>
    </row>
    <row r="88" spans="1:2">
      <c r="A88" t="s">
        <v>972</v>
      </c>
      <c r="B88" t="s">
        <v>487</v>
      </c>
    </row>
    <row r="89" spans="1:2">
      <c r="A89" t="s">
        <v>972</v>
      </c>
      <c r="B89" t="s">
        <v>487</v>
      </c>
    </row>
    <row r="90" spans="1:2">
      <c r="A90" t="s">
        <v>972</v>
      </c>
      <c r="B90" t="s">
        <v>487</v>
      </c>
    </row>
    <row r="91" spans="1:2">
      <c r="A91" t="s">
        <v>972</v>
      </c>
      <c r="B91" t="s">
        <v>487</v>
      </c>
    </row>
    <row r="92" spans="1:2">
      <c r="A92" t="s">
        <v>972</v>
      </c>
      <c r="B92" t="s">
        <v>487</v>
      </c>
    </row>
    <row r="93" spans="1:2">
      <c r="A93" t="s">
        <v>972</v>
      </c>
      <c r="B93" t="s">
        <v>487</v>
      </c>
    </row>
    <row r="94" spans="1:2">
      <c r="A94" t="s">
        <v>972</v>
      </c>
      <c r="B94" t="s">
        <v>487</v>
      </c>
    </row>
    <row r="95" spans="1:2">
      <c r="A95" t="s">
        <v>972</v>
      </c>
      <c r="B95" t="s">
        <v>487</v>
      </c>
    </row>
    <row r="96" spans="1:2">
      <c r="A96" t="s">
        <v>972</v>
      </c>
      <c r="B96" t="s">
        <v>487</v>
      </c>
    </row>
    <row r="97" spans="1:2">
      <c r="A97" t="s">
        <v>972</v>
      </c>
      <c r="B97" t="s">
        <v>487</v>
      </c>
    </row>
    <row r="98" spans="1:2">
      <c r="A98" t="s">
        <v>972</v>
      </c>
      <c r="B98" t="s">
        <v>487</v>
      </c>
    </row>
    <row r="99" spans="1:2">
      <c r="A99" t="s">
        <v>972</v>
      </c>
      <c r="B99" t="s">
        <v>487</v>
      </c>
    </row>
    <row r="100" spans="1:2">
      <c r="A100" t="s">
        <v>972</v>
      </c>
      <c r="B100" t="s">
        <v>487</v>
      </c>
    </row>
    <row r="101" spans="1:2">
      <c r="A101" t="s">
        <v>954</v>
      </c>
      <c r="B101" t="s">
        <v>519</v>
      </c>
    </row>
    <row r="102" spans="1:2">
      <c r="A102" t="s">
        <v>954</v>
      </c>
      <c r="B102" t="s">
        <v>488</v>
      </c>
    </row>
    <row r="103" spans="1:2">
      <c r="A103" t="s">
        <v>954</v>
      </c>
      <c r="B103" t="s">
        <v>487</v>
      </c>
    </row>
    <row r="104" spans="1:2">
      <c r="A104" t="s">
        <v>954</v>
      </c>
      <c r="B104" t="s">
        <v>487</v>
      </c>
    </row>
    <row r="105" spans="1:2">
      <c r="A105" t="s">
        <v>954</v>
      </c>
      <c r="B105" t="s">
        <v>487</v>
      </c>
    </row>
  </sheetData>
  <sortState ref="A3:B105">
    <sortCondition ref="A3:A105"/>
  </sortState>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dimension ref="A1:M58"/>
  <sheetViews>
    <sheetView workbookViewId="0"/>
  </sheetViews>
  <sheetFormatPr defaultRowHeight="14.4"/>
  <cols>
    <col min="1" max="1" width="15.5546875" customWidth="1"/>
    <col min="2" max="2" width="12.33203125" customWidth="1"/>
    <col min="3" max="3" width="11.33203125" customWidth="1"/>
    <col min="4" max="4" width="12.5546875" customWidth="1"/>
    <col min="5" max="5" width="12.6640625" customWidth="1"/>
    <col min="6" max="6" width="10.33203125" customWidth="1"/>
    <col min="8" max="8" width="18.6640625" customWidth="1"/>
  </cols>
  <sheetData>
    <row r="1" spans="1:13">
      <c r="A1" s="3" t="s">
        <v>1418</v>
      </c>
    </row>
    <row r="3" spans="1:13">
      <c r="B3" t="s">
        <v>1102</v>
      </c>
      <c r="C3" t="s">
        <v>1103</v>
      </c>
      <c r="D3" t="s">
        <v>1104</v>
      </c>
      <c r="E3" t="s">
        <v>1105</v>
      </c>
      <c r="F3" t="s">
        <v>954</v>
      </c>
      <c r="H3" t="s">
        <v>1106</v>
      </c>
    </row>
    <row r="4" spans="1:13">
      <c r="A4" t="s">
        <v>954</v>
      </c>
      <c r="B4" t="s">
        <v>489</v>
      </c>
      <c r="C4" t="s">
        <v>489</v>
      </c>
      <c r="D4" t="s">
        <v>489</v>
      </c>
      <c r="E4" t="s">
        <v>489</v>
      </c>
      <c r="F4" t="s">
        <v>490</v>
      </c>
      <c r="I4" t="s">
        <v>1024</v>
      </c>
      <c r="J4" t="s">
        <v>1025</v>
      </c>
    </row>
    <row r="5" spans="1:13">
      <c r="A5" t="s">
        <v>954</v>
      </c>
      <c r="B5" t="s">
        <v>489</v>
      </c>
      <c r="C5" t="s">
        <v>489</v>
      </c>
      <c r="D5" t="s">
        <v>489</v>
      </c>
      <c r="E5" t="s">
        <v>489</v>
      </c>
      <c r="F5" t="s">
        <v>490</v>
      </c>
      <c r="H5" t="s">
        <v>1104</v>
      </c>
      <c r="I5">
        <v>16</v>
      </c>
      <c r="J5">
        <v>39</v>
      </c>
      <c r="K5">
        <f>SUM(I5:J5)</f>
        <v>55</v>
      </c>
      <c r="M5" s="25">
        <f>16/55</f>
        <v>0.29090909090909089</v>
      </c>
    </row>
    <row r="6" spans="1:13">
      <c r="A6" t="s">
        <v>974</v>
      </c>
      <c r="B6" t="s">
        <v>489</v>
      </c>
      <c r="C6" t="s">
        <v>489</v>
      </c>
      <c r="D6" t="s">
        <v>489</v>
      </c>
      <c r="E6" t="s">
        <v>489</v>
      </c>
      <c r="F6" t="s">
        <v>490</v>
      </c>
      <c r="H6" t="s">
        <v>1105</v>
      </c>
      <c r="I6">
        <v>22</v>
      </c>
      <c r="J6">
        <v>34</v>
      </c>
      <c r="K6">
        <f>SUM(I6:J6)</f>
        <v>56</v>
      </c>
      <c r="M6" s="25">
        <f>22/55</f>
        <v>0.4</v>
      </c>
    </row>
    <row r="7" spans="1:13">
      <c r="A7" t="s">
        <v>974</v>
      </c>
      <c r="B7" t="s">
        <v>489</v>
      </c>
      <c r="C7" t="s">
        <v>489</v>
      </c>
      <c r="D7" t="s">
        <v>489</v>
      </c>
      <c r="E7" t="s">
        <v>489</v>
      </c>
      <c r="F7" t="s">
        <v>490</v>
      </c>
      <c r="H7" t="s">
        <v>1107</v>
      </c>
      <c r="I7">
        <v>27</v>
      </c>
      <c r="J7">
        <v>28</v>
      </c>
      <c r="K7">
        <f>SUM(I7:J7)</f>
        <v>55</v>
      </c>
      <c r="M7" s="25">
        <f>27/55</f>
        <v>0.49090909090909091</v>
      </c>
    </row>
    <row r="8" spans="1:13">
      <c r="A8" t="s">
        <v>974</v>
      </c>
      <c r="B8" t="s">
        <v>489</v>
      </c>
      <c r="C8" t="s">
        <v>489</v>
      </c>
      <c r="D8" t="s">
        <v>489</v>
      </c>
      <c r="E8" t="s">
        <v>489</v>
      </c>
      <c r="F8" t="s">
        <v>490</v>
      </c>
      <c r="H8" t="s">
        <v>1102</v>
      </c>
      <c r="I8">
        <v>54</v>
      </c>
      <c r="J8">
        <v>1</v>
      </c>
      <c r="K8">
        <f>SUM(I8:J8)</f>
        <v>55</v>
      </c>
      <c r="M8" s="25">
        <f>54/55</f>
        <v>0.98181818181818181</v>
      </c>
    </row>
    <row r="9" spans="1:13">
      <c r="A9" t="s">
        <v>972</v>
      </c>
      <c r="B9" t="s">
        <v>489</v>
      </c>
      <c r="C9" t="s">
        <v>489</v>
      </c>
      <c r="D9" t="s">
        <v>489</v>
      </c>
      <c r="E9" t="s">
        <v>489</v>
      </c>
      <c r="F9" t="s">
        <v>490</v>
      </c>
    </row>
    <row r="10" spans="1:13">
      <c r="A10" t="s">
        <v>972</v>
      </c>
      <c r="B10" t="s">
        <v>489</v>
      </c>
      <c r="C10" t="s">
        <v>489</v>
      </c>
      <c r="D10" t="s">
        <v>489</v>
      </c>
      <c r="E10" t="s">
        <v>489</v>
      </c>
      <c r="F10" t="s">
        <v>490</v>
      </c>
    </row>
    <row r="11" spans="1:13">
      <c r="A11" t="s">
        <v>972</v>
      </c>
      <c r="B11" t="s">
        <v>489</v>
      </c>
      <c r="C11" t="s">
        <v>489</v>
      </c>
      <c r="D11" t="s">
        <v>489</v>
      </c>
      <c r="E11" t="s">
        <v>489</v>
      </c>
      <c r="F11" t="s">
        <v>490</v>
      </c>
    </row>
    <row r="12" spans="1:13">
      <c r="A12" t="s">
        <v>973</v>
      </c>
      <c r="B12" t="s">
        <v>489</v>
      </c>
      <c r="C12" t="s">
        <v>490</v>
      </c>
      <c r="D12" t="s">
        <v>489</v>
      </c>
      <c r="E12" t="s">
        <v>489</v>
      </c>
      <c r="F12" t="s">
        <v>490</v>
      </c>
    </row>
    <row r="13" spans="1:13">
      <c r="A13" t="s">
        <v>974</v>
      </c>
      <c r="B13" t="s">
        <v>489</v>
      </c>
      <c r="C13" t="s">
        <v>490</v>
      </c>
      <c r="D13" t="s">
        <v>489</v>
      </c>
      <c r="E13" t="s">
        <v>489</v>
      </c>
      <c r="F13" t="s">
        <v>490</v>
      </c>
    </row>
    <row r="14" spans="1:13">
      <c r="A14" t="s">
        <v>974</v>
      </c>
      <c r="B14" t="s">
        <v>489</v>
      </c>
      <c r="C14" t="s">
        <v>490</v>
      </c>
      <c r="D14" t="s">
        <v>489</v>
      </c>
      <c r="E14" t="s">
        <v>489</v>
      </c>
      <c r="F14" t="s">
        <v>490</v>
      </c>
    </row>
    <row r="15" spans="1:13">
      <c r="A15" t="s">
        <v>974</v>
      </c>
      <c r="B15" t="s">
        <v>489</v>
      </c>
      <c r="C15" t="s">
        <v>490</v>
      </c>
      <c r="D15" t="s">
        <v>489</v>
      </c>
      <c r="E15" t="s">
        <v>489</v>
      </c>
      <c r="F15" t="s">
        <v>490</v>
      </c>
    </row>
    <row r="16" spans="1:13">
      <c r="A16" t="s">
        <v>974</v>
      </c>
      <c r="B16" t="s">
        <v>489</v>
      </c>
      <c r="C16" t="s">
        <v>489</v>
      </c>
      <c r="D16" t="s">
        <v>490</v>
      </c>
      <c r="E16" t="s">
        <v>489</v>
      </c>
      <c r="F16" t="s">
        <v>490</v>
      </c>
    </row>
    <row r="17" spans="1:6">
      <c r="A17" t="s">
        <v>974</v>
      </c>
      <c r="B17" t="s">
        <v>489</v>
      </c>
      <c r="C17" t="s">
        <v>489</v>
      </c>
      <c r="D17" t="s">
        <v>490</v>
      </c>
      <c r="E17" t="s">
        <v>489</v>
      </c>
      <c r="F17" t="s">
        <v>490</v>
      </c>
    </row>
    <row r="18" spans="1:6">
      <c r="A18" t="s">
        <v>972</v>
      </c>
      <c r="B18" t="s">
        <v>489</v>
      </c>
      <c r="C18" t="s">
        <v>489</v>
      </c>
      <c r="D18" t="s">
        <v>490</v>
      </c>
      <c r="E18" t="s">
        <v>489</v>
      </c>
      <c r="F18" t="s">
        <v>490</v>
      </c>
    </row>
    <row r="19" spans="1:6">
      <c r="A19" t="s">
        <v>974</v>
      </c>
      <c r="B19" t="s">
        <v>489</v>
      </c>
      <c r="C19" t="s">
        <v>490</v>
      </c>
      <c r="D19" t="s">
        <v>490</v>
      </c>
      <c r="E19" t="s">
        <v>489</v>
      </c>
      <c r="F19" t="s">
        <v>490</v>
      </c>
    </row>
    <row r="20" spans="1:6">
      <c r="A20" t="s">
        <v>974</v>
      </c>
      <c r="B20" t="s">
        <v>489</v>
      </c>
      <c r="C20" t="s">
        <v>490</v>
      </c>
      <c r="D20" t="s">
        <v>490</v>
      </c>
      <c r="E20" t="s">
        <v>489</v>
      </c>
      <c r="F20" t="s">
        <v>490</v>
      </c>
    </row>
    <row r="21" spans="1:6">
      <c r="A21" t="s">
        <v>974</v>
      </c>
      <c r="B21" t="s">
        <v>489</v>
      </c>
      <c r="C21" t="s">
        <v>490</v>
      </c>
      <c r="D21" t="s">
        <v>490</v>
      </c>
      <c r="E21" t="s">
        <v>489</v>
      </c>
      <c r="F21" t="s">
        <v>490</v>
      </c>
    </row>
    <row r="22" spans="1:6">
      <c r="A22" t="s">
        <v>974</v>
      </c>
      <c r="B22" t="s">
        <v>489</v>
      </c>
      <c r="C22" t="s">
        <v>490</v>
      </c>
      <c r="D22" t="s">
        <v>490</v>
      </c>
      <c r="E22" t="s">
        <v>489</v>
      </c>
      <c r="F22" t="s">
        <v>490</v>
      </c>
    </row>
    <row r="23" spans="1:6">
      <c r="A23" t="s">
        <v>974</v>
      </c>
      <c r="B23" t="s">
        <v>489</v>
      </c>
      <c r="C23" t="s">
        <v>490</v>
      </c>
      <c r="D23" t="s">
        <v>490</v>
      </c>
      <c r="E23" t="s">
        <v>489</v>
      </c>
      <c r="F23" t="s">
        <v>490</v>
      </c>
    </row>
    <row r="24" spans="1:6">
      <c r="A24" t="s">
        <v>954</v>
      </c>
      <c r="B24" t="s">
        <v>489</v>
      </c>
      <c r="C24" t="s">
        <v>490</v>
      </c>
      <c r="D24" t="s">
        <v>490</v>
      </c>
      <c r="E24" t="s">
        <v>489</v>
      </c>
      <c r="F24" t="s">
        <v>490</v>
      </c>
    </row>
    <row r="25" spans="1:6">
      <c r="A25" t="s">
        <v>973</v>
      </c>
      <c r="B25" t="s">
        <v>489</v>
      </c>
      <c r="C25" t="s">
        <v>489</v>
      </c>
      <c r="D25" t="s">
        <v>489</v>
      </c>
      <c r="E25" t="s">
        <v>490</v>
      </c>
      <c r="F25" t="s">
        <v>490</v>
      </c>
    </row>
    <row r="26" spans="1:6">
      <c r="A26" t="s">
        <v>972</v>
      </c>
      <c r="B26" t="s">
        <v>489</v>
      </c>
      <c r="C26" t="s">
        <v>490</v>
      </c>
      <c r="D26" t="s">
        <v>489</v>
      </c>
      <c r="E26" t="s">
        <v>490</v>
      </c>
      <c r="F26" t="s">
        <v>490</v>
      </c>
    </row>
    <row r="27" spans="1:6">
      <c r="A27" t="s">
        <v>974</v>
      </c>
      <c r="B27" t="s">
        <v>489</v>
      </c>
      <c r="C27" t="s">
        <v>490</v>
      </c>
      <c r="D27" t="s">
        <v>489</v>
      </c>
      <c r="E27" t="s">
        <v>490</v>
      </c>
      <c r="F27" t="s">
        <v>490</v>
      </c>
    </row>
    <row r="28" spans="1:6">
      <c r="A28" t="s">
        <v>972</v>
      </c>
      <c r="B28" t="s">
        <v>490</v>
      </c>
      <c r="C28" t="s">
        <v>490</v>
      </c>
      <c r="D28" t="s">
        <v>489</v>
      </c>
      <c r="E28" t="s">
        <v>490</v>
      </c>
      <c r="F28" t="s">
        <v>490</v>
      </c>
    </row>
    <row r="29" spans="1:6">
      <c r="A29" t="s">
        <v>972</v>
      </c>
      <c r="B29" t="s">
        <v>489</v>
      </c>
      <c r="C29" t="s">
        <v>489</v>
      </c>
      <c r="D29" t="s">
        <v>490</v>
      </c>
      <c r="E29" t="s">
        <v>490</v>
      </c>
      <c r="F29" t="s">
        <v>490</v>
      </c>
    </row>
    <row r="30" spans="1:6">
      <c r="A30" t="s">
        <v>972</v>
      </c>
      <c r="B30" t="s">
        <v>489</v>
      </c>
      <c r="C30" t="s">
        <v>489</v>
      </c>
      <c r="D30" t="s">
        <v>490</v>
      </c>
      <c r="E30" t="s">
        <v>490</v>
      </c>
      <c r="F30" t="s">
        <v>490</v>
      </c>
    </row>
    <row r="31" spans="1:6">
      <c r="A31" t="s">
        <v>972</v>
      </c>
      <c r="B31" t="s">
        <v>489</v>
      </c>
      <c r="C31" t="s">
        <v>489</v>
      </c>
      <c r="D31" t="s">
        <v>490</v>
      </c>
      <c r="E31" t="s">
        <v>490</v>
      </c>
      <c r="F31" t="s">
        <v>490</v>
      </c>
    </row>
    <row r="32" spans="1:6">
      <c r="A32" t="s">
        <v>972</v>
      </c>
      <c r="B32" t="s">
        <v>489</v>
      </c>
      <c r="C32" t="s">
        <v>489</v>
      </c>
      <c r="D32" t="s">
        <v>490</v>
      </c>
      <c r="E32" t="s">
        <v>490</v>
      </c>
      <c r="F32" t="s">
        <v>490</v>
      </c>
    </row>
    <row r="33" spans="1:6">
      <c r="A33" t="s">
        <v>972</v>
      </c>
      <c r="B33" t="s">
        <v>489</v>
      </c>
      <c r="C33" t="s">
        <v>489</v>
      </c>
      <c r="D33" t="s">
        <v>490</v>
      </c>
      <c r="E33" t="s">
        <v>490</v>
      </c>
      <c r="F33" t="s">
        <v>490</v>
      </c>
    </row>
    <row r="34" spans="1:6">
      <c r="A34" t="s">
        <v>972</v>
      </c>
      <c r="B34" t="s">
        <v>489</v>
      </c>
      <c r="C34" t="s">
        <v>489</v>
      </c>
      <c r="D34" t="s">
        <v>490</v>
      </c>
      <c r="E34" t="s">
        <v>490</v>
      </c>
      <c r="F34" t="s">
        <v>490</v>
      </c>
    </row>
    <row r="35" spans="1:6">
      <c r="A35" t="s">
        <v>972</v>
      </c>
      <c r="B35" t="s">
        <v>489</v>
      </c>
      <c r="C35" t="s">
        <v>489</v>
      </c>
      <c r="D35" t="s">
        <v>490</v>
      </c>
      <c r="E35" t="s">
        <v>490</v>
      </c>
      <c r="F35" t="s">
        <v>490</v>
      </c>
    </row>
    <row r="36" spans="1:6">
      <c r="A36" t="s">
        <v>972</v>
      </c>
      <c r="B36" t="s">
        <v>489</v>
      </c>
      <c r="C36" t="s">
        <v>489</v>
      </c>
      <c r="D36" t="s">
        <v>490</v>
      </c>
      <c r="E36" t="s">
        <v>490</v>
      </c>
      <c r="F36" t="s">
        <v>490</v>
      </c>
    </row>
    <row r="37" spans="1:6">
      <c r="A37" t="s">
        <v>972</v>
      </c>
      <c r="B37" t="s">
        <v>489</v>
      </c>
      <c r="C37" t="s">
        <v>489</v>
      </c>
      <c r="D37" t="s">
        <v>490</v>
      </c>
      <c r="E37" t="s">
        <v>490</v>
      </c>
      <c r="F37" t="s">
        <v>490</v>
      </c>
    </row>
    <row r="38" spans="1:6">
      <c r="A38" t="s">
        <v>974</v>
      </c>
      <c r="B38" t="s">
        <v>489</v>
      </c>
      <c r="C38" t="s">
        <v>489</v>
      </c>
      <c r="D38" t="s">
        <v>490</v>
      </c>
      <c r="E38" t="s">
        <v>490</v>
      </c>
      <c r="F38" t="s">
        <v>490</v>
      </c>
    </row>
    <row r="39" spans="1:6">
      <c r="A39" t="s">
        <v>974</v>
      </c>
      <c r="B39" t="s">
        <v>489</v>
      </c>
      <c r="C39" t="s">
        <v>489</v>
      </c>
      <c r="D39" t="s">
        <v>490</v>
      </c>
      <c r="E39" t="s">
        <v>490</v>
      </c>
      <c r="F39" t="s">
        <v>490</v>
      </c>
    </row>
    <row r="40" spans="1:6">
      <c r="A40" t="s">
        <v>974</v>
      </c>
      <c r="B40" t="s">
        <v>489</v>
      </c>
      <c r="C40" t="s">
        <v>489</v>
      </c>
      <c r="D40" t="s">
        <v>490</v>
      </c>
      <c r="E40" t="s">
        <v>490</v>
      </c>
      <c r="F40" t="s">
        <v>490</v>
      </c>
    </row>
    <row r="41" spans="1:6">
      <c r="A41" t="s">
        <v>972</v>
      </c>
      <c r="B41" t="s">
        <v>489</v>
      </c>
      <c r="C41" t="s">
        <v>489</v>
      </c>
      <c r="D41" t="s">
        <v>490</v>
      </c>
      <c r="E41" t="s">
        <v>490</v>
      </c>
      <c r="F41" t="s">
        <v>490</v>
      </c>
    </row>
    <row r="42" spans="1:6">
      <c r="A42" t="s">
        <v>972</v>
      </c>
      <c r="B42" t="s">
        <v>489</v>
      </c>
      <c r="C42" t="s">
        <v>489</v>
      </c>
      <c r="D42" t="s">
        <v>490</v>
      </c>
      <c r="E42" t="s">
        <v>490</v>
      </c>
      <c r="F42" t="s">
        <v>490</v>
      </c>
    </row>
    <row r="43" spans="1:6">
      <c r="A43" t="s">
        <v>973</v>
      </c>
      <c r="B43" t="s">
        <v>489</v>
      </c>
      <c r="C43" t="s">
        <v>489</v>
      </c>
      <c r="D43" t="s">
        <v>490</v>
      </c>
      <c r="E43" t="s">
        <v>490</v>
      </c>
      <c r="F43" t="s">
        <v>490</v>
      </c>
    </row>
    <row r="44" spans="1:6">
      <c r="A44" t="s">
        <v>972</v>
      </c>
      <c r="B44" t="s">
        <v>489</v>
      </c>
      <c r="C44" t="s">
        <v>490</v>
      </c>
      <c r="D44" t="s">
        <v>490</v>
      </c>
      <c r="E44" t="s">
        <v>490</v>
      </c>
      <c r="F44" t="s">
        <v>490</v>
      </c>
    </row>
    <row r="45" spans="1:6">
      <c r="A45" t="s">
        <v>972</v>
      </c>
      <c r="B45" t="s">
        <v>489</v>
      </c>
      <c r="C45" t="s">
        <v>490</v>
      </c>
      <c r="D45" t="s">
        <v>490</v>
      </c>
      <c r="E45" t="s">
        <v>490</v>
      </c>
      <c r="F45" t="s">
        <v>490</v>
      </c>
    </row>
    <row r="46" spans="1:6">
      <c r="A46" t="s">
        <v>972</v>
      </c>
      <c r="B46" t="s">
        <v>489</v>
      </c>
      <c r="C46" t="s">
        <v>490</v>
      </c>
      <c r="D46" t="s">
        <v>490</v>
      </c>
      <c r="E46" t="s">
        <v>490</v>
      </c>
      <c r="F46" t="s">
        <v>490</v>
      </c>
    </row>
    <row r="47" spans="1:6">
      <c r="A47" t="s">
        <v>972</v>
      </c>
      <c r="B47" t="s">
        <v>489</v>
      </c>
      <c r="C47" t="s">
        <v>490</v>
      </c>
      <c r="D47" t="s">
        <v>490</v>
      </c>
      <c r="E47" t="s">
        <v>490</v>
      </c>
      <c r="F47" t="s">
        <v>490</v>
      </c>
    </row>
    <row r="48" spans="1:6">
      <c r="A48" t="s">
        <v>972</v>
      </c>
      <c r="B48" t="s">
        <v>489</v>
      </c>
      <c r="C48" t="s">
        <v>490</v>
      </c>
      <c r="D48" t="s">
        <v>490</v>
      </c>
      <c r="E48" t="s">
        <v>490</v>
      </c>
      <c r="F48" t="s">
        <v>490</v>
      </c>
    </row>
    <row r="49" spans="1:6">
      <c r="A49" t="s">
        <v>972</v>
      </c>
      <c r="B49" t="s">
        <v>489</v>
      </c>
      <c r="C49" t="s">
        <v>490</v>
      </c>
      <c r="D49" t="s">
        <v>490</v>
      </c>
      <c r="E49" t="s">
        <v>490</v>
      </c>
      <c r="F49" t="s">
        <v>490</v>
      </c>
    </row>
    <row r="50" spans="1:6">
      <c r="A50" t="s">
        <v>972</v>
      </c>
      <c r="B50" t="s">
        <v>489</v>
      </c>
      <c r="C50" t="s">
        <v>490</v>
      </c>
      <c r="D50" t="s">
        <v>490</v>
      </c>
      <c r="E50" t="s">
        <v>490</v>
      </c>
      <c r="F50" t="s">
        <v>490</v>
      </c>
    </row>
    <row r="51" spans="1:6">
      <c r="A51" t="s">
        <v>972</v>
      </c>
      <c r="B51" t="s">
        <v>489</v>
      </c>
      <c r="C51" t="s">
        <v>490</v>
      </c>
      <c r="D51" t="s">
        <v>490</v>
      </c>
      <c r="E51" t="s">
        <v>490</v>
      </c>
      <c r="F51" t="s">
        <v>490</v>
      </c>
    </row>
    <row r="52" spans="1:6">
      <c r="A52" t="s">
        <v>974</v>
      </c>
      <c r="B52" t="s">
        <v>489</v>
      </c>
      <c r="C52" t="s">
        <v>490</v>
      </c>
      <c r="D52" t="s">
        <v>490</v>
      </c>
      <c r="E52" t="s">
        <v>490</v>
      </c>
      <c r="F52" t="s">
        <v>490</v>
      </c>
    </row>
    <row r="53" spans="1:6">
      <c r="A53" t="s">
        <v>974</v>
      </c>
      <c r="B53" t="s">
        <v>489</v>
      </c>
      <c r="C53" t="s">
        <v>490</v>
      </c>
      <c r="D53" t="s">
        <v>490</v>
      </c>
      <c r="E53" t="s">
        <v>490</v>
      </c>
      <c r="F53" t="s">
        <v>490</v>
      </c>
    </row>
    <row r="54" spans="1:6">
      <c r="A54" t="s">
        <v>974</v>
      </c>
      <c r="B54" t="s">
        <v>489</v>
      </c>
      <c r="C54" t="s">
        <v>490</v>
      </c>
      <c r="D54" t="s">
        <v>490</v>
      </c>
      <c r="E54" t="s">
        <v>490</v>
      </c>
      <c r="F54" t="s">
        <v>490</v>
      </c>
    </row>
    <row r="55" spans="1:6">
      <c r="A55" t="s">
        <v>974</v>
      </c>
      <c r="B55" t="s">
        <v>489</v>
      </c>
      <c r="C55" t="s">
        <v>490</v>
      </c>
      <c r="D55" t="s">
        <v>490</v>
      </c>
      <c r="E55" t="s">
        <v>490</v>
      </c>
      <c r="F55" t="s">
        <v>490</v>
      </c>
    </row>
    <row r="56" spans="1:6">
      <c r="A56" t="s">
        <v>974</v>
      </c>
      <c r="B56" t="s">
        <v>489</v>
      </c>
      <c r="C56" t="s">
        <v>490</v>
      </c>
      <c r="D56" t="s">
        <v>490</v>
      </c>
      <c r="E56" t="s">
        <v>490</v>
      </c>
      <c r="F56" t="s">
        <v>490</v>
      </c>
    </row>
    <row r="57" spans="1:6">
      <c r="A57" t="s">
        <v>974</v>
      </c>
      <c r="B57" t="s">
        <v>489</v>
      </c>
      <c r="C57" t="s">
        <v>490</v>
      </c>
      <c r="D57" t="s">
        <v>490</v>
      </c>
      <c r="E57" t="s">
        <v>490</v>
      </c>
      <c r="F57" t="s">
        <v>490</v>
      </c>
    </row>
    <row r="58" spans="1:6">
      <c r="A58" t="s">
        <v>973</v>
      </c>
      <c r="B58" t="s">
        <v>489</v>
      </c>
      <c r="C58" t="s">
        <v>490</v>
      </c>
      <c r="D58" t="s">
        <v>490</v>
      </c>
      <c r="E58" t="s">
        <v>490</v>
      </c>
      <c r="F58" t="s">
        <v>490</v>
      </c>
    </row>
  </sheetData>
  <sortState ref="H5:J8">
    <sortCondition ref="I5:I8"/>
  </sortState>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dimension ref="A1:R409"/>
  <sheetViews>
    <sheetView workbookViewId="0"/>
  </sheetViews>
  <sheetFormatPr defaultRowHeight="14.4"/>
  <cols>
    <col min="1" max="1" width="14.88671875" customWidth="1"/>
    <col min="13" max="13" width="20.6640625" customWidth="1"/>
    <col min="17" max="17" width="17.77734375" customWidth="1"/>
    <col min="19" max="19" width="11.44140625" customWidth="1"/>
  </cols>
  <sheetData>
    <row r="1" spans="1:18">
      <c r="A1" s="3" t="s">
        <v>1419</v>
      </c>
    </row>
    <row r="3" spans="1:18">
      <c r="A3" t="s">
        <v>1118</v>
      </c>
    </row>
    <row r="4" spans="1:18">
      <c r="M4" t="s">
        <v>1242</v>
      </c>
    </row>
    <row r="5" spans="1:18">
      <c r="B5" t="s">
        <v>1108</v>
      </c>
      <c r="C5" t="s">
        <v>1109</v>
      </c>
      <c r="D5" t="s">
        <v>1110</v>
      </c>
      <c r="E5" t="s">
        <v>1111</v>
      </c>
      <c r="F5" t="s">
        <v>1112</v>
      </c>
      <c r="G5" t="s">
        <v>1113</v>
      </c>
      <c r="H5" t="s">
        <v>1114</v>
      </c>
      <c r="I5" t="s">
        <v>1115</v>
      </c>
      <c r="J5" t="s">
        <v>1116</v>
      </c>
      <c r="K5" t="s">
        <v>954</v>
      </c>
      <c r="N5" t="s">
        <v>1119</v>
      </c>
      <c r="O5" t="s">
        <v>1120</v>
      </c>
      <c r="Q5" t="s">
        <v>1410</v>
      </c>
    </row>
    <row r="6" spans="1:18">
      <c r="A6" t="s">
        <v>973</v>
      </c>
      <c r="B6">
        <v>0</v>
      </c>
      <c r="C6">
        <v>5</v>
      </c>
      <c r="D6">
        <v>1</v>
      </c>
      <c r="E6">
        <v>1</v>
      </c>
      <c r="F6">
        <v>5</v>
      </c>
      <c r="G6">
        <v>0</v>
      </c>
      <c r="H6">
        <v>0</v>
      </c>
      <c r="I6">
        <v>0</v>
      </c>
      <c r="J6">
        <v>0</v>
      </c>
      <c r="K6">
        <v>0</v>
      </c>
      <c r="M6" t="s">
        <v>1108</v>
      </c>
      <c r="N6" s="25">
        <v>0.46</v>
      </c>
      <c r="O6" s="25">
        <v>0.44</v>
      </c>
      <c r="Q6" t="s">
        <v>1108</v>
      </c>
      <c r="R6" s="25">
        <f>(O6-N6)/N6</f>
        <v>-4.3478260869565251E-2</v>
      </c>
    </row>
    <row r="7" spans="1:18">
      <c r="A7" t="s">
        <v>973</v>
      </c>
      <c r="B7">
        <v>0</v>
      </c>
      <c r="C7">
        <v>100</v>
      </c>
      <c r="D7">
        <v>5</v>
      </c>
      <c r="E7">
        <v>2</v>
      </c>
      <c r="F7">
        <v>2</v>
      </c>
      <c r="G7">
        <v>0</v>
      </c>
      <c r="H7">
        <v>0</v>
      </c>
      <c r="I7">
        <v>0</v>
      </c>
      <c r="J7">
        <v>0</v>
      </c>
      <c r="K7">
        <v>100</v>
      </c>
      <c r="M7" t="s">
        <v>1109</v>
      </c>
      <c r="N7" s="25">
        <v>0.34</v>
      </c>
      <c r="O7" s="25">
        <v>0.44</v>
      </c>
      <c r="Q7" t="s">
        <v>1109</v>
      </c>
      <c r="R7" s="25">
        <f>(O7-N7)/N7</f>
        <v>0.29411764705882343</v>
      </c>
    </row>
    <row r="8" spans="1:18">
      <c r="A8" t="s">
        <v>972</v>
      </c>
      <c r="B8">
        <v>0</v>
      </c>
      <c r="C8">
        <v>0</v>
      </c>
      <c r="D8">
        <v>0</v>
      </c>
      <c r="E8">
        <v>0</v>
      </c>
      <c r="F8">
        <v>0</v>
      </c>
      <c r="G8">
        <v>0</v>
      </c>
      <c r="H8">
        <v>0</v>
      </c>
      <c r="I8">
        <v>0</v>
      </c>
      <c r="J8">
        <v>0</v>
      </c>
      <c r="K8">
        <v>0</v>
      </c>
      <c r="M8" t="s">
        <v>1110</v>
      </c>
      <c r="N8" s="25">
        <v>0.14000000000000001</v>
      </c>
      <c r="O8" s="25">
        <v>0.21</v>
      </c>
      <c r="Q8" t="s">
        <v>1116</v>
      </c>
      <c r="R8" s="25">
        <f>(O14-N14)/N14</f>
        <v>0.1999999999999999</v>
      </c>
    </row>
    <row r="9" spans="1:18">
      <c r="A9" t="s">
        <v>972</v>
      </c>
      <c r="B9">
        <v>0</v>
      </c>
      <c r="C9">
        <v>0</v>
      </c>
      <c r="D9">
        <v>0</v>
      </c>
      <c r="E9">
        <v>0</v>
      </c>
      <c r="F9">
        <v>0</v>
      </c>
      <c r="G9">
        <v>0</v>
      </c>
      <c r="H9">
        <v>0</v>
      </c>
      <c r="I9">
        <v>0</v>
      </c>
      <c r="J9">
        <v>0</v>
      </c>
      <c r="K9">
        <v>80</v>
      </c>
      <c r="M9" t="s">
        <v>1111</v>
      </c>
      <c r="N9" s="25">
        <v>0.1</v>
      </c>
      <c r="O9" s="25">
        <v>0.18</v>
      </c>
      <c r="Q9" t="s">
        <v>1115</v>
      </c>
      <c r="R9" s="25">
        <f>(O13-N13)/N13</f>
        <v>0.49999999999999989</v>
      </c>
    </row>
    <row r="10" spans="1:18">
      <c r="A10" t="s">
        <v>972</v>
      </c>
      <c r="B10">
        <v>0</v>
      </c>
      <c r="C10">
        <v>0</v>
      </c>
      <c r="D10">
        <v>0</v>
      </c>
      <c r="E10">
        <v>0</v>
      </c>
      <c r="F10">
        <v>0</v>
      </c>
      <c r="G10">
        <v>0</v>
      </c>
      <c r="H10">
        <v>0</v>
      </c>
      <c r="I10">
        <v>0</v>
      </c>
      <c r="J10">
        <v>0</v>
      </c>
      <c r="K10">
        <v>0</v>
      </c>
      <c r="M10" t="s">
        <v>1112</v>
      </c>
      <c r="N10" s="25">
        <v>0.03</v>
      </c>
      <c r="O10" s="25">
        <v>7.0000000000000007E-2</v>
      </c>
      <c r="Q10" t="s">
        <v>1110</v>
      </c>
      <c r="R10" s="25">
        <f>(O8-N8)/N8</f>
        <v>0.49999999999999978</v>
      </c>
    </row>
    <row r="11" spans="1:18">
      <c r="A11" t="s">
        <v>972</v>
      </c>
      <c r="B11">
        <v>0</v>
      </c>
      <c r="C11">
        <v>0</v>
      </c>
      <c r="D11">
        <v>0</v>
      </c>
      <c r="E11">
        <v>0</v>
      </c>
      <c r="F11">
        <v>0</v>
      </c>
      <c r="G11">
        <v>0</v>
      </c>
      <c r="H11">
        <v>0</v>
      </c>
      <c r="I11">
        <v>0</v>
      </c>
      <c r="J11">
        <v>0</v>
      </c>
      <c r="K11">
        <v>0</v>
      </c>
      <c r="M11" t="s">
        <v>1113</v>
      </c>
      <c r="N11" s="25">
        <v>0.01</v>
      </c>
      <c r="O11" s="25">
        <v>0.04</v>
      </c>
      <c r="Q11" t="s">
        <v>1111</v>
      </c>
      <c r="R11" s="25">
        <f>(O9-N9)/N9</f>
        <v>0.79999999999999982</v>
      </c>
    </row>
    <row r="12" spans="1:18">
      <c r="A12" t="s">
        <v>972</v>
      </c>
      <c r="B12">
        <v>0</v>
      </c>
      <c r="C12">
        <v>50</v>
      </c>
      <c r="D12">
        <v>0</v>
      </c>
      <c r="E12">
        <v>0</v>
      </c>
      <c r="F12">
        <v>0</v>
      </c>
      <c r="G12">
        <v>0</v>
      </c>
      <c r="H12">
        <v>0</v>
      </c>
      <c r="I12">
        <v>0</v>
      </c>
      <c r="J12">
        <v>0</v>
      </c>
      <c r="K12">
        <v>0</v>
      </c>
      <c r="M12" t="s">
        <v>1114</v>
      </c>
      <c r="N12" s="25">
        <v>0.03</v>
      </c>
      <c r="O12" s="25">
        <v>7.0000000000000007E-2</v>
      </c>
      <c r="Q12" t="s">
        <v>1112</v>
      </c>
      <c r="R12" s="25">
        <f>(O10-N10)/N10</f>
        <v>1.3333333333333337</v>
      </c>
    </row>
    <row r="13" spans="1:18">
      <c r="A13" t="s">
        <v>972</v>
      </c>
      <c r="B13">
        <v>0</v>
      </c>
      <c r="C13">
        <v>5</v>
      </c>
      <c r="D13">
        <v>0</v>
      </c>
      <c r="E13">
        <v>0</v>
      </c>
      <c r="F13">
        <v>0</v>
      </c>
      <c r="G13">
        <v>0</v>
      </c>
      <c r="H13">
        <v>0</v>
      </c>
      <c r="I13">
        <v>0</v>
      </c>
      <c r="J13">
        <v>0</v>
      </c>
      <c r="K13">
        <v>0</v>
      </c>
      <c r="M13" t="s">
        <v>1115</v>
      </c>
      <c r="N13" s="25">
        <v>0.08</v>
      </c>
      <c r="O13" s="25">
        <v>0.12</v>
      </c>
      <c r="Q13" t="s">
        <v>1114</v>
      </c>
      <c r="R13" s="25">
        <f>(O12-N12)/N12</f>
        <v>1.3333333333333337</v>
      </c>
    </row>
    <row r="14" spans="1:18">
      <c r="A14" t="s">
        <v>972</v>
      </c>
      <c r="B14">
        <v>0</v>
      </c>
      <c r="C14">
        <v>70</v>
      </c>
      <c r="D14">
        <v>0</v>
      </c>
      <c r="E14">
        <v>0</v>
      </c>
      <c r="F14">
        <v>0</v>
      </c>
      <c r="G14">
        <v>0</v>
      </c>
      <c r="H14">
        <v>30</v>
      </c>
      <c r="I14">
        <v>0</v>
      </c>
      <c r="J14">
        <v>0</v>
      </c>
      <c r="K14">
        <v>0</v>
      </c>
      <c r="M14" t="s">
        <v>1116</v>
      </c>
      <c r="N14" s="25">
        <v>0.05</v>
      </c>
      <c r="O14" s="25">
        <v>0.06</v>
      </c>
      <c r="Q14" t="s">
        <v>1113</v>
      </c>
      <c r="R14" s="25">
        <f>(O11-N11)/N11</f>
        <v>3</v>
      </c>
    </row>
    <row r="15" spans="1:18">
      <c r="A15" t="s">
        <v>972</v>
      </c>
      <c r="B15">
        <v>0</v>
      </c>
      <c r="C15">
        <v>0</v>
      </c>
      <c r="D15">
        <v>25</v>
      </c>
      <c r="E15">
        <v>0</v>
      </c>
      <c r="F15">
        <v>0</v>
      </c>
      <c r="G15">
        <v>0</v>
      </c>
      <c r="H15">
        <v>0</v>
      </c>
      <c r="I15">
        <v>0</v>
      </c>
      <c r="J15">
        <v>0</v>
      </c>
      <c r="K15">
        <v>0</v>
      </c>
      <c r="M15" t="s">
        <v>954</v>
      </c>
      <c r="N15" s="25">
        <v>0.04</v>
      </c>
      <c r="O15" s="25">
        <v>0.04</v>
      </c>
    </row>
    <row r="16" spans="1:18">
      <c r="A16" t="s">
        <v>974</v>
      </c>
      <c r="B16">
        <v>0</v>
      </c>
      <c r="C16">
        <v>100</v>
      </c>
      <c r="D16">
        <v>0</v>
      </c>
      <c r="E16">
        <v>0</v>
      </c>
      <c r="F16">
        <v>0</v>
      </c>
      <c r="G16">
        <v>0</v>
      </c>
      <c r="H16">
        <v>0</v>
      </c>
      <c r="I16">
        <v>0</v>
      </c>
      <c r="J16">
        <v>0</v>
      </c>
      <c r="K16">
        <v>0</v>
      </c>
    </row>
    <row r="17" spans="1:11">
      <c r="A17" t="s">
        <v>974</v>
      </c>
      <c r="B17">
        <v>0</v>
      </c>
      <c r="C17">
        <v>2</v>
      </c>
      <c r="D17">
        <v>0</v>
      </c>
      <c r="E17">
        <v>0</v>
      </c>
      <c r="F17">
        <v>0</v>
      </c>
      <c r="G17">
        <v>0</v>
      </c>
      <c r="H17">
        <v>0</v>
      </c>
      <c r="I17">
        <v>0</v>
      </c>
      <c r="J17">
        <v>0</v>
      </c>
      <c r="K17">
        <v>0</v>
      </c>
    </row>
    <row r="18" spans="1:11">
      <c r="A18" t="s">
        <v>974</v>
      </c>
      <c r="B18">
        <v>0</v>
      </c>
      <c r="C18">
        <v>5</v>
      </c>
      <c r="D18">
        <v>0</v>
      </c>
      <c r="E18">
        <v>0</v>
      </c>
      <c r="F18">
        <v>5</v>
      </c>
      <c r="G18">
        <v>0</v>
      </c>
      <c r="H18">
        <v>0</v>
      </c>
      <c r="I18">
        <v>0</v>
      </c>
      <c r="J18">
        <v>0</v>
      </c>
      <c r="K18">
        <v>0</v>
      </c>
    </row>
    <row r="19" spans="1:11">
      <c r="A19" t="s">
        <v>974</v>
      </c>
      <c r="B19">
        <v>0</v>
      </c>
      <c r="C19">
        <v>5</v>
      </c>
      <c r="D19">
        <v>0</v>
      </c>
      <c r="E19">
        <v>0</v>
      </c>
      <c r="F19">
        <v>0</v>
      </c>
      <c r="G19">
        <v>0</v>
      </c>
      <c r="H19">
        <v>0</v>
      </c>
      <c r="I19">
        <v>0</v>
      </c>
      <c r="J19">
        <v>0</v>
      </c>
      <c r="K19">
        <v>0</v>
      </c>
    </row>
    <row r="20" spans="1:11">
      <c r="A20" t="s">
        <v>974</v>
      </c>
      <c r="B20">
        <v>0</v>
      </c>
      <c r="C20">
        <v>5</v>
      </c>
      <c r="D20">
        <v>5</v>
      </c>
      <c r="E20">
        <v>0</v>
      </c>
      <c r="F20">
        <v>2</v>
      </c>
      <c r="G20">
        <v>0</v>
      </c>
      <c r="H20">
        <v>0</v>
      </c>
      <c r="I20">
        <v>0</v>
      </c>
      <c r="J20">
        <v>0</v>
      </c>
      <c r="K20">
        <v>1</v>
      </c>
    </row>
    <row r="21" spans="1:11">
      <c r="A21" t="s">
        <v>974</v>
      </c>
      <c r="B21">
        <v>0</v>
      </c>
      <c r="C21">
        <v>0</v>
      </c>
      <c r="D21">
        <v>0</v>
      </c>
      <c r="E21">
        <v>0</v>
      </c>
      <c r="F21">
        <v>0</v>
      </c>
      <c r="G21">
        <v>0</v>
      </c>
      <c r="H21">
        <v>0</v>
      </c>
      <c r="I21">
        <v>0</v>
      </c>
      <c r="J21">
        <v>100</v>
      </c>
      <c r="K21">
        <v>0</v>
      </c>
    </row>
    <row r="22" spans="1:11">
      <c r="A22" t="s">
        <v>974</v>
      </c>
      <c r="B22">
        <v>0</v>
      </c>
      <c r="C22">
        <v>100</v>
      </c>
      <c r="D22">
        <v>0</v>
      </c>
      <c r="E22">
        <v>0</v>
      </c>
      <c r="F22">
        <v>0</v>
      </c>
      <c r="G22">
        <v>0</v>
      </c>
      <c r="H22">
        <v>0</v>
      </c>
      <c r="I22">
        <v>0</v>
      </c>
      <c r="J22">
        <v>0</v>
      </c>
      <c r="K22">
        <v>0</v>
      </c>
    </row>
    <row r="23" spans="1:11">
      <c r="A23" t="s">
        <v>954</v>
      </c>
      <c r="B23">
        <v>0</v>
      </c>
      <c r="C23">
        <v>100</v>
      </c>
      <c r="D23">
        <v>95</v>
      </c>
      <c r="E23">
        <v>10</v>
      </c>
      <c r="F23">
        <v>0</v>
      </c>
      <c r="G23">
        <v>0</v>
      </c>
      <c r="H23">
        <v>0</v>
      </c>
      <c r="I23">
        <v>100</v>
      </c>
      <c r="J23">
        <v>0</v>
      </c>
      <c r="K23">
        <v>0</v>
      </c>
    </row>
    <row r="24" spans="1:11">
      <c r="A24" t="s">
        <v>973</v>
      </c>
      <c r="B24">
        <v>0</v>
      </c>
      <c r="C24">
        <v>30</v>
      </c>
      <c r="D24">
        <v>0</v>
      </c>
      <c r="E24">
        <v>0</v>
      </c>
      <c r="F24">
        <v>0</v>
      </c>
      <c r="G24">
        <v>0</v>
      </c>
      <c r="H24">
        <v>0</v>
      </c>
      <c r="I24">
        <v>0</v>
      </c>
      <c r="J24">
        <v>0</v>
      </c>
      <c r="K24">
        <v>0</v>
      </c>
    </row>
    <row r="25" spans="1:11">
      <c r="A25" t="s">
        <v>972</v>
      </c>
      <c r="B25">
        <v>0</v>
      </c>
      <c r="C25">
        <v>0</v>
      </c>
      <c r="D25">
        <v>0</v>
      </c>
      <c r="E25">
        <v>0</v>
      </c>
      <c r="F25">
        <v>0</v>
      </c>
      <c r="G25">
        <v>0</v>
      </c>
      <c r="H25">
        <v>0</v>
      </c>
      <c r="I25">
        <v>0</v>
      </c>
      <c r="J25">
        <v>0</v>
      </c>
      <c r="K25">
        <v>0</v>
      </c>
    </row>
    <row r="26" spans="1:11">
      <c r="A26" t="s">
        <v>973</v>
      </c>
      <c r="B26">
        <v>0</v>
      </c>
      <c r="C26">
        <v>60</v>
      </c>
      <c r="D26">
        <v>0</v>
      </c>
      <c r="E26">
        <v>0</v>
      </c>
      <c r="F26">
        <v>0</v>
      </c>
      <c r="G26">
        <v>0</v>
      </c>
      <c r="H26">
        <v>0</v>
      </c>
      <c r="I26">
        <v>0</v>
      </c>
      <c r="J26">
        <v>0</v>
      </c>
      <c r="K26">
        <v>0</v>
      </c>
    </row>
    <row r="27" spans="1:11">
      <c r="A27" t="s">
        <v>974</v>
      </c>
      <c r="B27">
        <v>2</v>
      </c>
      <c r="C27">
        <v>0</v>
      </c>
      <c r="D27">
        <v>0</v>
      </c>
      <c r="E27">
        <v>0</v>
      </c>
      <c r="F27">
        <v>0</v>
      </c>
      <c r="G27">
        <v>0</v>
      </c>
      <c r="H27">
        <v>0</v>
      </c>
      <c r="I27">
        <v>0</v>
      </c>
      <c r="J27">
        <v>0</v>
      </c>
      <c r="K27">
        <v>0</v>
      </c>
    </row>
    <row r="28" spans="1:11">
      <c r="A28" t="s">
        <v>974</v>
      </c>
      <c r="B28">
        <v>2</v>
      </c>
      <c r="C28">
        <v>100</v>
      </c>
      <c r="D28">
        <v>0</v>
      </c>
      <c r="E28">
        <v>0</v>
      </c>
      <c r="F28">
        <v>0</v>
      </c>
      <c r="G28">
        <v>0</v>
      </c>
      <c r="H28">
        <v>0</v>
      </c>
      <c r="I28">
        <v>0</v>
      </c>
      <c r="J28">
        <v>0</v>
      </c>
      <c r="K28">
        <v>0</v>
      </c>
    </row>
    <row r="29" spans="1:11">
      <c r="A29" t="s">
        <v>972</v>
      </c>
      <c r="B29">
        <v>2</v>
      </c>
      <c r="C29">
        <v>2</v>
      </c>
      <c r="D29">
        <v>0</v>
      </c>
      <c r="E29">
        <v>0</v>
      </c>
      <c r="F29">
        <v>0</v>
      </c>
      <c r="G29">
        <v>1</v>
      </c>
      <c r="H29">
        <v>1</v>
      </c>
      <c r="I29">
        <v>0</v>
      </c>
      <c r="J29">
        <v>0</v>
      </c>
      <c r="K29">
        <v>0</v>
      </c>
    </row>
    <row r="30" spans="1:11">
      <c r="A30" t="s">
        <v>972</v>
      </c>
      <c r="B30">
        <v>3</v>
      </c>
      <c r="C30">
        <v>8</v>
      </c>
      <c r="D30">
        <v>0</v>
      </c>
      <c r="E30">
        <v>0</v>
      </c>
      <c r="F30">
        <v>0</v>
      </c>
      <c r="G30">
        <v>0</v>
      </c>
      <c r="H30">
        <v>0</v>
      </c>
      <c r="I30">
        <v>0</v>
      </c>
      <c r="J30">
        <v>0</v>
      </c>
      <c r="K30">
        <v>0</v>
      </c>
    </row>
    <row r="31" spans="1:11">
      <c r="A31" t="s">
        <v>972</v>
      </c>
      <c r="B31">
        <v>5</v>
      </c>
      <c r="C31">
        <v>0</v>
      </c>
      <c r="D31">
        <v>15</v>
      </c>
      <c r="E31">
        <v>15</v>
      </c>
      <c r="F31">
        <v>15</v>
      </c>
      <c r="G31">
        <v>5</v>
      </c>
      <c r="H31">
        <v>0</v>
      </c>
      <c r="I31">
        <v>0</v>
      </c>
      <c r="J31">
        <v>15</v>
      </c>
      <c r="K31">
        <v>0</v>
      </c>
    </row>
    <row r="32" spans="1:11">
      <c r="A32" t="s">
        <v>972</v>
      </c>
      <c r="B32">
        <v>5</v>
      </c>
      <c r="C32">
        <v>98</v>
      </c>
      <c r="D32">
        <v>98</v>
      </c>
      <c r="E32">
        <v>10</v>
      </c>
      <c r="F32">
        <v>0</v>
      </c>
      <c r="G32">
        <v>0</v>
      </c>
      <c r="H32">
        <v>0</v>
      </c>
      <c r="I32">
        <v>98</v>
      </c>
      <c r="J32">
        <v>0</v>
      </c>
      <c r="K32">
        <v>0</v>
      </c>
    </row>
    <row r="33" spans="1:11">
      <c r="A33" t="s">
        <v>974</v>
      </c>
      <c r="B33">
        <v>5</v>
      </c>
      <c r="C33">
        <v>5</v>
      </c>
      <c r="D33">
        <v>0</v>
      </c>
      <c r="E33">
        <v>0</v>
      </c>
      <c r="F33">
        <v>0</v>
      </c>
      <c r="G33">
        <v>0</v>
      </c>
      <c r="H33">
        <v>0</v>
      </c>
      <c r="I33">
        <v>0</v>
      </c>
      <c r="J33">
        <v>0</v>
      </c>
      <c r="K33">
        <v>0</v>
      </c>
    </row>
    <row r="34" spans="1:11">
      <c r="A34" t="s">
        <v>974</v>
      </c>
      <c r="B34">
        <v>5</v>
      </c>
      <c r="C34">
        <v>2</v>
      </c>
      <c r="D34">
        <v>0</v>
      </c>
      <c r="E34">
        <v>0</v>
      </c>
      <c r="F34">
        <v>0</v>
      </c>
      <c r="G34">
        <v>0</v>
      </c>
      <c r="H34">
        <v>0</v>
      </c>
      <c r="I34">
        <v>0</v>
      </c>
      <c r="J34">
        <v>0</v>
      </c>
      <c r="K34">
        <v>0</v>
      </c>
    </row>
    <row r="35" spans="1:11">
      <c r="A35" t="s">
        <v>972</v>
      </c>
      <c r="B35">
        <v>5</v>
      </c>
      <c r="C35">
        <v>95</v>
      </c>
      <c r="D35">
        <v>0</v>
      </c>
      <c r="E35">
        <v>0</v>
      </c>
      <c r="F35">
        <v>0</v>
      </c>
      <c r="G35">
        <v>0</v>
      </c>
      <c r="H35">
        <v>5</v>
      </c>
      <c r="I35">
        <v>0</v>
      </c>
      <c r="J35">
        <v>0</v>
      </c>
      <c r="K35">
        <v>0</v>
      </c>
    </row>
    <row r="36" spans="1:11">
      <c r="A36" t="s">
        <v>974</v>
      </c>
      <c r="B36">
        <v>8</v>
      </c>
      <c r="C36">
        <v>4</v>
      </c>
      <c r="D36">
        <v>0</v>
      </c>
      <c r="E36">
        <v>0</v>
      </c>
      <c r="F36">
        <v>0</v>
      </c>
      <c r="G36">
        <v>0</v>
      </c>
      <c r="H36">
        <v>0</v>
      </c>
      <c r="I36">
        <v>0</v>
      </c>
      <c r="J36">
        <v>0</v>
      </c>
      <c r="K36">
        <v>0</v>
      </c>
    </row>
    <row r="37" spans="1:11">
      <c r="A37" t="s">
        <v>972</v>
      </c>
      <c r="B37">
        <v>10</v>
      </c>
      <c r="C37">
        <v>2</v>
      </c>
      <c r="D37">
        <v>0</v>
      </c>
      <c r="E37">
        <v>0</v>
      </c>
      <c r="F37">
        <v>1</v>
      </c>
      <c r="G37">
        <v>0</v>
      </c>
      <c r="H37">
        <v>0</v>
      </c>
      <c r="I37">
        <v>0</v>
      </c>
      <c r="J37">
        <v>0</v>
      </c>
      <c r="K37">
        <v>0</v>
      </c>
    </row>
    <row r="38" spans="1:11">
      <c r="A38" t="s">
        <v>974</v>
      </c>
      <c r="B38">
        <v>10</v>
      </c>
      <c r="C38">
        <v>90</v>
      </c>
      <c r="D38">
        <v>90</v>
      </c>
      <c r="E38">
        <v>90</v>
      </c>
      <c r="F38">
        <v>0</v>
      </c>
      <c r="G38">
        <v>10</v>
      </c>
      <c r="H38">
        <v>5</v>
      </c>
      <c r="I38">
        <v>25</v>
      </c>
      <c r="J38">
        <v>25</v>
      </c>
      <c r="K38">
        <v>0</v>
      </c>
    </row>
    <row r="39" spans="1:11">
      <c r="A39" t="s">
        <v>974</v>
      </c>
      <c r="B39">
        <v>10</v>
      </c>
      <c r="C39">
        <v>5</v>
      </c>
      <c r="D39">
        <v>0</v>
      </c>
      <c r="E39">
        <v>0</v>
      </c>
      <c r="F39">
        <v>0</v>
      </c>
      <c r="G39">
        <v>0</v>
      </c>
      <c r="H39">
        <v>0</v>
      </c>
      <c r="I39">
        <v>0</v>
      </c>
      <c r="J39">
        <v>0</v>
      </c>
      <c r="K39">
        <v>0</v>
      </c>
    </row>
    <row r="40" spans="1:11">
      <c r="A40" t="s">
        <v>974</v>
      </c>
      <c r="B40">
        <v>10</v>
      </c>
      <c r="C40">
        <v>5</v>
      </c>
      <c r="D40">
        <v>0</v>
      </c>
      <c r="E40">
        <v>0</v>
      </c>
      <c r="F40">
        <v>0</v>
      </c>
      <c r="G40">
        <v>0</v>
      </c>
      <c r="H40">
        <v>0</v>
      </c>
      <c r="I40">
        <v>0</v>
      </c>
      <c r="J40">
        <v>0</v>
      </c>
      <c r="K40">
        <v>0</v>
      </c>
    </row>
    <row r="41" spans="1:11">
      <c r="A41" t="s">
        <v>974</v>
      </c>
      <c r="B41">
        <v>15</v>
      </c>
      <c r="C41">
        <v>12</v>
      </c>
      <c r="D41">
        <v>2</v>
      </c>
      <c r="E41">
        <v>2</v>
      </c>
      <c r="F41">
        <v>2</v>
      </c>
      <c r="G41">
        <v>0</v>
      </c>
      <c r="H41">
        <v>0</v>
      </c>
      <c r="I41">
        <v>0</v>
      </c>
      <c r="J41">
        <v>0</v>
      </c>
      <c r="K41">
        <v>0</v>
      </c>
    </row>
    <row r="42" spans="1:11">
      <c r="A42" t="s">
        <v>974</v>
      </c>
      <c r="B42">
        <v>15</v>
      </c>
      <c r="C42">
        <v>15</v>
      </c>
      <c r="D42">
        <v>0</v>
      </c>
      <c r="E42">
        <v>0</v>
      </c>
      <c r="F42">
        <v>0</v>
      </c>
      <c r="G42">
        <v>0</v>
      </c>
      <c r="H42">
        <v>0</v>
      </c>
      <c r="I42">
        <v>0</v>
      </c>
      <c r="J42">
        <v>0</v>
      </c>
      <c r="K42">
        <v>0</v>
      </c>
    </row>
    <row r="43" spans="1:11">
      <c r="A43" t="s">
        <v>972</v>
      </c>
      <c r="B43">
        <v>20</v>
      </c>
      <c r="C43">
        <v>0</v>
      </c>
      <c r="D43">
        <v>0</v>
      </c>
      <c r="E43">
        <v>0</v>
      </c>
      <c r="F43">
        <v>0</v>
      </c>
      <c r="G43">
        <v>0</v>
      </c>
      <c r="H43">
        <v>0</v>
      </c>
      <c r="I43">
        <v>0</v>
      </c>
      <c r="J43">
        <v>0</v>
      </c>
      <c r="K43">
        <v>0</v>
      </c>
    </row>
    <row r="44" spans="1:11">
      <c r="A44" t="s">
        <v>972</v>
      </c>
      <c r="B44">
        <v>20</v>
      </c>
      <c r="C44">
        <v>20</v>
      </c>
      <c r="D44">
        <v>20</v>
      </c>
      <c r="E44">
        <v>0</v>
      </c>
      <c r="F44">
        <v>0</v>
      </c>
      <c r="G44">
        <v>0</v>
      </c>
      <c r="H44">
        <v>10</v>
      </c>
      <c r="I44">
        <v>0</v>
      </c>
      <c r="J44">
        <v>0</v>
      </c>
      <c r="K44">
        <v>0</v>
      </c>
    </row>
    <row r="45" spans="1:11">
      <c r="A45" t="s">
        <v>974</v>
      </c>
      <c r="B45">
        <v>20</v>
      </c>
      <c r="C45">
        <v>10</v>
      </c>
      <c r="D45">
        <v>10</v>
      </c>
      <c r="E45">
        <v>10</v>
      </c>
      <c r="F45">
        <v>0</v>
      </c>
      <c r="G45">
        <v>0</v>
      </c>
      <c r="H45">
        <v>0</v>
      </c>
      <c r="I45">
        <v>0</v>
      </c>
      <c r="J45">
        <v>0</v>
      </c>
      <c r="K45">
        <v>0</v>
      </c>
    </row>
    <row r="46" spans="1:11">
      <c r="A46" t="s">
        <v>972</v>
      </c>
      <c r="B46">
        <v>22</v>
      </c>
      <c r="C46">
        <v>78</v>
      </c>
      <c r="D46">
        <v>0</v>
      </c>
      <c r="E46">
        <v>1</v>
      </c>
      <c r="F46">
        <v>1</v>
      </c>
      <c r="G46">
        <v>0</v>
      </c>
      <c r="H46">
        <v>1</v>
      </c>
      <c r="I46">
        <v>0</v>
      </c>
      <c r="J46">
        <v>0</v>
      </c>
      <c r="K46">
        <v>0</v>
      </c>
    </row>
    <row r="47" spans="1:11">
      <c r="A47" t="s">
        <v>972</v>
      </c>
      <c r="B47">
        <v>25</v>
      </c>
      <c r="C47">
        <v>15</v>
      </c>
      <c r="D47">
        <v>0</v>
      </c>
      <c r="E47">
        <v>0</v>
      </c>
      <c r="F47">
        <v>0</v>
      </c>
      <c r="G47">
        <v>0</v>
      </c>
      <c r="H47">
        <v>0</v>
      </c>
      <c r="I47">
        <v>0</v>
      </c>
      <c r="J47">
        <v>0</v>
      </c>
      <c r="K47">
        <v>0</v>
      </c>
    </row>
    <row r="48" spans="1:11">
      <c r="A48" t="s">
        <v>954</v>
      </c>
      <c r="B48">
        <v>27</v>
      </c>
      <c r="C48">
        <v>3</v>
      </c>
      <c r="D48">
        <v>1</v>
      </c>
      <c r="E48">
        <v>2</v>
      </c>
      <c r="F48">
        <v>0</v>
      </c>
      <c r="G48">
        <v>0</v>
      </c>
      <c r="H48">
        <v>0</v>
      </c>
      <c r="I48">
        <v>1</v>
      </c>
      <c r="J48">
        <v>0</v>
      </c>
      <c r="K48">
        <v>0</v>
      </c>
    </row>
    <row r="49" spans="1:11">
      <c r="A49" t="s">
        <v>972</v>
      </c>
      <c r="B49">
        <v>35</v>
      </c>
      <c r="C49">
        <v>2</v>
      </c>
      <c r="D49">
        <v>5</v>
      </c>
      <c r="E49">
        <v>0</v>
      </c>
      <c r="F49">
        <v>0</v>
      </c>
      <c r="G49">
        <v>1</v>
      </c>
      <c r="H49">
        <v>5</v>
      </c>
      <c r="I49">
        <v>0</v>
      </c>
      <c r="J49">
        <v>0</v>
      </c>
      <c r="K49">
        <v>0</v>
      </c>
    </row>
    <row r="50" spans="1:11">
      <c r="A50" t="s">
        <v>972</v>
      </c>
      <c r="B50">
        <v>39</v>
      </c>
      <c r="C50">
        <v>39</v>
      </c>
      <c r="D50">
        <v>5</v>
      </c>
      <c r="E50">
        <v>0</v>
      </c>
      <c r="F50">
        <v>0</v>
      </c>
      <c r="G50">
        <v>0</v>
      </c>
      <c r="H50">
        <v>3</v>
      </c>
      <c r="I50">
        <v>0</v>
      </c>
      <c r="J50">
        <v>0</v>
      </c>
      <c r="K50">
        <v>0</v>
      </c>
    </row>
    <row r="51" spans="1:11">
      <c r="A51" t="s">
        <v>972</v>
      </c>
      <c r="B51">
        <v>40</v>
      </c>
      <c r="C51">
        <v>8</v>
      </c>
      <c r="D51">
        <v>0</v>
      </c>
      <c r="E51">
        <v>0</v>
      </c>
      <c r="F51">
        <v>0</v>
      </c>
      <c r="G51">
        <v>0</v>
      </c>
      <c r="H51">
        <v>0</v>
      </c>
      <c r="I51">
        <v>0</v>
      </c>
      <c r="J51">
        <v>0</v>
      </c>
      <c r="K51">
        <v>0</v>
      </c>
    </row>
    <row r="52" spans="1:11">
      <c r="A52" t="s">
        <v>972</v>
      </c>
      <c r="B52">
        <v>40</v>
      </c>
      <c r="C52">
        <v>5</v>
      </c>
      <c r="D52">
        <v>5</v>
      </c>
      <c r="E52">
        <v>5</v>
      </c>
      <c r="F52">
        <v>0</v>
      </c>
      <c r="G52">
        <v>0</v>
      </c>
      <c r="H52">
        <v>2</v>
      </c>
      <c r="I52">
        <v>0</v>
      </c>
      <c r="J52">
        <v>0</v>
      </c>
      <c r="K52">
        <v>0</v>
      </c>
    </row>
    <row r="53" spans="1:11">
      <c r="A53" t="s">
        <v>972</v>
      </c>
      <c r="B53">
        <v>40</v>
      </c>
      <c r="C53">
        <v>5</v>
      </c>
      <c r="D53">
        <v>0</v>
      </c>
      <c r="E53">
        <v>0</v>
      </c>
      <c r="F53">
        <v>0</v>
      </c>
      <c r="G53">
        <v>0</v>
      </c>
      <c r="H53">
        <v>1</v>
      </c>
      <c r="I53">
        <v>0</v>
      </c>
      <c r="J53">
        <v>0</v>
      </c>
      <c r="K53">
        <v>0</v>
      </c>
    </row>
    <row r="54" spans="1:11">
      <c r="A54" t="s">
        <v>974</v>
      </c>
      <c r="B54">
        <v>40</v>
      </c>
      <c r="C54">
        <v>0</v>
      </c>
      <c r="D54">
        <v>0</v>
      </c>
      <c r="E54">
        <v>0</v>
      </c>
      <c r="F54">
        <v>0</v>
      </c>
      <c r="G54">
        <v>0</v>
      </c>
      <c r="H54">
        <v>0</v>
      </c>
      <c r="I54">
        <v>0</v>
      </c>
      <c r="J54">
        <v>0</v>
      </c>
      <c r="K54">
        <v>0</v>
      </c>
    </row>
    <row r="55" spans="1:11">
      <c r="A55" t="s">
        <v>972</v>
      </c>
      <c r="B55">
        <v>40</v>
      </c>
      <c r="C55">
        <v>0</v>
      </c>
      <c r="D55">
        <v>0</v>
      </c>
      <c r="E55">
        <v>0</v>
      </c>
      <c r="F55">
        <v>0</v>
      </c>
      <c r="G55">
        <v>0</v>
      </c>
      <c r="H55">
        <v>0</v>
      </c>
      <c r="I55">
        <v>0</v>
      </c>
      <c r="J55">
        <v>0</v>
      </c>
      <c r="K55">
        <v>0</v>
      </c>
    </row>
    <row r="56" spans="1:11">
      <c r="A56" t="s">
        <v>972</v>
      </c>
      <c r="B56">
        <v>55</v>
      </c>
      <c r="C56">
        <v>0</v>
      </c>
      <c r="D56">
        <v>0</v>
      </c>
      <c r="E56">
        <v>0</v>
      </c>
      <c r="F56">
        <v>55</v>
      </c>
      <c r="G56">
        <v>0</v>
      </c>
      <c r="H56">
        <v>35</v>
      </c>
      <c r="I56">
        <v>0</v>
      </c>
      <c r="J56">
        <v>15</v>
      </c>
      <c r="K56">
        <v>0</v>
      </c>
    </row>
    <row r="57" spans="1:11">
      <c r="A57" t="s">
        <v>954</v>
      </c>
      <c r="B57">
        <v>60</v>
      </c>
      <c r="C57">
        <v>10</v>
      </c>
      <c r="D57">
        <v>0</v>
      </c>
      <c r="E57">
        <v>1</v>
      </c>
      <c r="F57">
        <v>0</v>
      </c>
      <c r="G57">
        <v>1</v>
      </c>
      <c r="H57">
        <v>1</v>
      </c>
      <c r="I57">
        <v>0</v>
      </c>
      <c r="J57">
        <v>0</v>
      </c>
      <c r="K57">
        <v>0</v>
      </c>
    </row>
    <row r="58" spans="1:11">
      <c r="A58" t="s">
        <v>972</v>
      </c>
      <c r="B58">
        <v>60</v>
      </c>
      <c r="C58">
        <v>0</v>
      </c>
      <c r="D58">
        <v>0</v>
      </c>
      <c r="E58">
        <v>0</v>
      </c>
      <c r="F58">
        <v>0</v>
      </c>
      <c r="G58">
        <v>0</v>
      </c>
      <c r="H58">
        <v>0</v>
      </c>
      <c r="I58">
        <v>0</v>
      </c>
      <c r="J58">
        <v>0</v>
      </c>
      <c r="K58">
        <v>60</v>
      </c>
    </row>
    <row r="59" spans="1:11">
      <c r="A59" t="s">
        <v>972</v>
      </c>
      <c r="B59">
        <v>65</v>
      </c>
      <c r="C59">
        <v>65</v>
      </c>
      <c r="D59">
        <v>0</v>
      </c>
      <c r="E59">
        <v>0</v>
      </c>
      <c r="F59">
        <v>0</v>
      </c>
      <c r="G59">
        <v>0</v>
      </c>
      <c r="H59">
        <v>0</v>
      </c>
      <c r="I59">
        <v>0</v>
      </c>
      <c r="J59">
        <v>0</v>
      </c>
      <c r="K59">
        <v>0</v>
      </c>
    </row>
    <row r="60" spans="1:11">
      <c r="A60" t="s">
        <v>972</v>
      </c>
      <c r="B60">
        <v>75</v>
      </c>
      <c r="C60">
        <v>70</v>
      </c>
      <c r="D60">
        <v>0</v>
      </c>
      <c r="E60">
        <v>0</v>
      </c>
      <c r="F60">
        <v>0</v>
      </c>
      <c r="G60">
        <v>0</v>
      </c>
      <c r="H60">
        <v>0</v>
      </c>
      <c r="I60">
        <v>0</v>
      </c>
      <c r="J60">
        <v>0</v>
      </c>
      <c r="K60">
        <v>0</v>
      </c>
    </row>
    <row r="61" spans="1:11">
      <c r="A61" t="s">
        <v>972</v>
      </c>
      <c r="B61">
        <v>75</v>
      </c>
      <c r="C61">
        <v>50</v>
      </c>
      <c r="D61">
        <v>50</v>
      </c>
      <c r="E61">
        <v>50</v>
      </c>
      <c r="F61">
        <v>0</v>
      </c>
      <c r="G61">
        <v>0</v>
      </c>
      <c r="H61">
        <v>0</v>
      </c>
      <c r="I61">
        <v>0</v>
      </c>
      <c r="J61">
        <v>0</v>
      </c>
      <c r="K61">
        <v>0</v>
      </c>
    </row>
    <row r="62" spans="1:11">
      <c r="A62" t="s">
        <v>972</v>
      </c>
      <c r="B62">
        <v>80</v>
      </c>
      <c r="C62">
        <v>10</v>
      </c>
      <c r="D62">
        <v>0</v>
      </c>
      <c r="E62">
        <v>0</v>
      </c>
      <c r="F62">
        <v>10</v>
      </c>
      <c r="G62">
        <v>0</v>
      </c>
      <c r="H62">
        <v>0</v>
      </c>
      <c r="I62">
        <v>0</v>
      </c>
      <c r="J62">
        <v>0</v>
      </c>
      <c r="K62">
        <v>0</v>
      </c>
    </row>
    <row r="63" spans="1:11">
      <c r="A63" t="s">
        <v>972</v>
      </c>
      <c r="B63">
        <v>80</v>
      </c>
      <c r="C63">
        <v>0</v>
      </c>
      <c r="D63">
        <v>0</v>
      </c>
      <c r="E63">
        <v>0</v>
      </c>
      <c r="F63">
        <v>50</v>
      </c>
      <c r="G63">
        <v>0</v>
      </c>
      <c r="H63">
        <v>0</v>
      </c>
      <c r="I63">
        <v>0</v>
      </c>
      <c r="J63">
        <v>0</v>
      </c>
      <c r="K63">
        <v>0</v>
      </c>
    </row>
    <row r="64" spans="1:11">
      <c r="A64" t="s">
        <v>972</v>
      </c>
      <c r="B64">
        <v>80</v>
      </c>
      <c r="C64">
        <v>80</v>
      </c>
      <c r="D64">
        <v>5</v>
      </c>
      <c r="E64">
        <v>0</v>
      </c>
      <c r="F64">
        <v>80</v>
      </c>
      <c r="G64">
        <v>1</v>
      </c>
      <c r="H64">
        <v>5</v>
      </c>
      <c r="I64">
        <v>0</v>
      </c>
      <c r="J64">
        <v>0</v>
      </c>
      <c r="K64">
        <v>0</v>
      </c>
    </row>
    <row r="65" spans="1:11">
      <c r="A65" t="s">
        <v>974</v>
      </c>
      <c r="B65">
        <v>85</v>
      </c>
      <c r="C65">
        <v>3</v>
      </c>
      <c r="D65">
        <v>3</v>
      </c>
      <c r="E65">
        <v>0</v>
      </c>
      <c r="F65">
        <v>0</v>
      </c>
      <c r="G65">
        <v>0</v>
      </c>
      <c r="H65">
        <v>2</v>
      </c>
      <c r="I65">
        <v>0</v>
      </c>
      <c r="J65">
        <v>0</v>
      </c>
      <c r="K65">
        <v>0</v>
      </c>
    </row>
    <row r="66" spans="1:11">
      <c r="A66" t="s">
        <v>972</v>
      </c>
      <c r="B66">
        <v>85</v>
      </c>
      <c r="C66">
        <v>0</v>
      </c>
      <c r="D66">
        <v>40</v>
      </c>
      <c r="E66">
        <v>40</v>
      </c>
      <c r="F66">
        <v>0</v>
      </c>
      <c r="G66">
        <v>5</v>
      </c>
      <c r="H66">
        <v>1</v>
      </c>
      <c r="I66">
        <v>40</v>
      </c>
      <c r="J66">
        <v>20</v>
      </c>
      <c r="K66">
        <v>0</v>
      </c>
    </row>
    <row r="67" spans="1:11">
      <c r="A67" t="s">
        <v>972</v>
      </c>
      <c r="B67">
        <v>90</v>
      </c>
      <c r="C67">
        <v>72</v>
      </c>
      <c r="D67">
        <v>5</v>
      </c>
      <c r="E67">
        <v>0</v>
      </c>
      <c r="F67">
        <v>5</v>
      </c>
      <c r="G67">
        <v>1</v>
      </c>
      <c r="H67">
        <v>1</v>
      </c>
      <c r="I67">
        <v>0</v>
      </c>
      <c r="J67">
        <v>0</v>
      </c>
      <c r="K67">
        <v>0</v>
      </c>
    </row>
    <row r="68" spans="1:11">
      <c r="A68" t="s">
        <v>972</v>
      </c>
      <c r="B68">
        <v>90</v>
      </c>
      <c r="C68">
        <v>10</v>
      </c>
      <c r="D68">
        <v>0</v>
      </c>
      <c r="E68">
        <v>0</v>
      </c>
      <c r="F68">
        <v>0</v>
      </c>
      <c r="G68">
        <v>0</v>
      </c>
      <c r="H68">
        <v>5</v>
      </c>
      <c r="I68">
        <v>0</v>
      </c>
      <c r="J68">
        <v>0</v>
      </c>
      <c r="K68">
        <v>0</v>
      </c>
    </row>
    <row r="69" spans="1:11">
      <c r="A69" t="s">
        <v>972</v>
      </c>
      <c r="B69">
        <v>90</v>
      </c>
      <c r="C69">
        <v>75</v>
      </c>
      <c r="D69">
        <v>40</v>
      </c>
      <c r="E69">
        <v>30</v>
      </c>
      <c r="F69">
        <v>30</v>
      </c>
      <c r="G69">
        <v>20</v>
      </c>
      <c r="H69">
        <v>20</v>
      </c>
      <c r="I69">
        <v>20</v>
      </c>
      <c r="J69">
        <v>20</v>
      </c>
      <c r="K69">
        <v>10</v>
      </c>
    </row>
    <row r="70" spans="1:11">
      <c r="A70" t="s">
        <v>972</v>
      </c>
      <c r="B70">
        <v>90</v>
      </c>
      <c r="C70">
        <v>100</v>
      </c>
      <c r="D70">
        <v>0</v>
      </c>
      <c r="E70">
        <v>0</v>
      </c>
      <c r="F70">
        <v>0</v>
      </c>
      <c r="G70">
        <v>10</v>
      </c>
      <c r="H70">
        <v>0</v>
      </c>
      <c r="I70">
        <v>0</v>
      </c>
      <c r="J70">
        <v>0</v>
      </c>
      <c r="K70">
        <v>0</v>
      </c>
    </row>
    <row r="71" spans="1:11">
      <c r="A71" t="s">
        <v>972</v>
      </c>
      <c r="B71">
        <v>90</v>
      </c>
      <c r="C71">
        <v>0</v>
      </c>
      <c r="D71">
        <v>0</v>
      </c>
      <c r="E71">
        <v>0</v>
      </c>
      <c r="F71">
        <v>0</v>
      </c>
      <c r="G71">
        <v>0</v>
      </c>
      <c r="H71">
        <v>0</v>
      </c>
      <c r="I71">
        <v>0</v>
      </c>
      <c r="J71">
        <v>0</v>
      </c>
      <c r="K71">
        <v>0</v>
      </c>
    </row>
    <row r="72" spans="1:11">
      <c r="A72" t="s">
        <v>972</v>
      </c>
      <c r="B72">
        <v>90</v>
      </c>
      <c r="C72">
        <v>60</v>
      </c>
      <c r="D72">
        <v>0</v>
      </c>
      <c r="E72">
        <v>40</v>
      </c>
      <c r="F72">
        <v>0</v>
      </c>
      <c r="G72">
        <v>0</v>
      </c>
      <c r="H72">
        <v>0</v>
      </c>
      <c r="I72">
        <v>0</v>
      </c>
      <c r="J72">
        <v>0</v>
      </c>
      <c r="K72">
        <v>0</v>
      </c>
    </row>
    <row r="73" spans="1:11">
      <c r="A73" t="s">
        <v>972</v>
      </c>
      <c r="B73">
        <v>95</v>
      </c>
      <c r="C73">
        <v>95</v>
      </c>
      <c r="D73">
        <v>95</v>
      </c>
      <c r="E73">
        <v>95</v>
      </c>
      <c r="F73">
        <v>0</v>
      </c>
      <c r="G73">
        <v>0</v>
      </c>
      <c r="H73">
        <v>0</v>
      </c>
      <c r="I73">
        <v>0</v>
      </c>
      <c r="J73">
        <v>0</v>
      </c>
      <c r="K73">
        <v>0</v>
      </c>
    </row>
    <row r="74" spans="1:11">
      <c r="A74" t="s">
        <v>972</v>
      </c>
      <c r="B74">
        <v>95</v>
      </c>
      <c r="C74">
        <v>90</v>
      </c>
      <c r="D74">
        <v>25</v>
      </c>
      <c r="E74">
        <v>15</v>
      </c>
      <c r="F74">
        <v>0</v>
      </c>
      <c r="G74">
        <v>0</v>
      </c>
      <c r="H74">
        <v>5</v>
      </c>
      <c r="I74">
        <v>90</v>
      </c>
      <c r="J74">
        <v>0</v>
      </c>
      <c r="K74">
        <v>0</v>
      </c>
    </row>
    <row r="75" spans="1:11">
      <c r="A75" t="s">
        <v>972</v>
      </c>
      <c r="B75">
        <v>98</v>
      </c>
      <c r="C75">
        <v>98</v>
      </c>
      <c r="D75">
        <v>98</v>
      </c>
      <c r="E75">
        <v>0</v>
      </c>
      <c r="F75">
        <v>0</v>
      </c>
      <c r="G75">
        <v>10</v>
      </c>
      <c r="H75">
        <v>25</v>
      </c>
      <c r="I75">
        <v>98</v>
      </c>
      <c r="J75">
        <v>98</v>
      </c>
      <c r="K75">
        <v>0</v>
      </c>
    </row>
    <row r="76" spans="1:11">
      <c r="A76" t="s">
        <v>954</v>
      </c>
      <c r="B76">
        <v>100</v>
      </c>
      <c r="C76">
        <v>2</v>
      </c>
      <c r="D76">
        <v>1</v>
      </c>
      <c r="E76">
        <v>1</v>
      </c>
      <c r="F76">
        <v>0</v>
      </c>
      <c r="G76">
        <v>1</v>
      </c>
      <c r="H76">
        <v>1</v>
      </c>
      <c r="I76">
        <v>48</v>
      </c>
      <c r="J76">
        <v>5</v>
      </c>
      <c r="K76">
        <v>0</v>
      </c>
    </row>
    <row r="77" spans="1:11">
      <c r="A77" t="s">
        <v>973</v>
      </c>
      <c r="B77">
        <v>100</v>
      </c>
      <c r="C77">
        <v>90</v>
      </c>
      <c r="D77">
        <v>5</v>
      </c>
      <c r="E77">
        <v>5</v>
      </c>
      <c r="F77">
        <v>0</v>
      </c>
      <c r="G77">
        <v>0</v>
      </c>
      <c r="H77">
        <v>0</v>
      </c>
      <c r="I77">
        <v>5</v>
      </c>
      <c r="J77">
        <v>0</v>
      </c>
      <c r="K77">
        <v>0</v>
      </c>
    </row>
    <row r="78" spans="1:11">
      <c r="A78" t="s">
        <v>972</v>
      </c>
      <c r="B78">
        <v>100</v>
      </c>
      <c r="C78">
        <v>100</v>
      </c>
      <c r="D78">
        <v>100</v>
      </c>
      <c r="E78">
        <v>80</v>
      </c>
      <c r="F78">
        <v>0</v>
      </c>
      <c r="G78">
        <v>20</v>
      </c>
      <c r="H78">
        <v>5</v>
      </c>
      <c r="I78">
        <v>0</v>
      </c>
      <c r="J78">
        <v>100</v>
      </c>
      <c r="K78">
        <v>0</v>
      </c>
    </row>
    <row r="79" spans="1:11">
      <c r="A79" t="s">
        <v>972</v>
      </c>
      <c r="B79">
        <v>100</v>
      </c>
      <c r="C79">
        <v>100</v>
      </c>
      <c r="D79">
        <v>0</v>
      </c>
      <c r="E79">
        <v>0</v>
      </c>
      <c r="F79">
        <v>0</v>
      </c>
      <c r="G79">
        <v>0</v>
      </c>
      <c r="H79">
        <v>2</v>
      </c>
      <c r="I79">
        <v>0</v>
      </c>
      <c r="J79">
        <v>0</v>
      </c>
      <c r="K79">
        <v>0</v>
      </c>
    </row>
    <row r="80" spans="1:11">
      <c r="A80" t="s">
        <v>972</v>
      </c>
      <c r="B80">
        <v>100</v>
      </c>
      <c r="C80">
        <v>2</v>
      </c>
      <c r="D80">
        <v>0</v>
      </c>
      <c r="E80">
        <v>0</v>
      </c>
      <c r="F80">
        <v>0</v>
      </c>
      <c r="G80">
        <v>0</v>
      </c>
      <c r="H80">
        <v>0</v>
      </c>
      <c r="I80">
        <v>0</v>
      </c>
      <c r="J80">
        <v>0</v>
      </c>
      <c r="K80">
        <v>0</v>
      </c>
    </row>
    <row r="81" spans="1:11">
      <c r="A81" t="s">
        <v>972</v>
      </c>
      <c r="B81">
        <v>100</v>
      </c>
      <c r="C81">
        <v>0</v>
      </c>
      <c r="D81">
        <v>0</v>
      </c>
      <c r="E81">
        <v>0</v>
      </c>
      <c r="F81">
        <v>0</v>
      </c>
      <c r="G81">
        <v>0</v>
      </c>
      <c r="H81">
        <v>0</v>
      </c>
      <c r="I81">
        <v>0</v>
      </c>
      <c r="J81">
        <v>0</v>
      </c>
      <c r="K81">
        <v>0</v>
      </c>
    </row>
    <row r="82" spans="1:11">
      <c r="A82" t="s">
        <v>972</v>
      </c>
      <c r="B82">
        <v>100</v>
      </c>
      <c r="C82">
        <v>10</v>
      </c>
      <c r="D82">
        <v>10</v>
      </c>
      <c r="E82">
        <v>10</v>
      </c>
      <c r="F82">
        <v>0</v>
      </c>
      <c r="G82">
        <v>0</v>
      </c>
      <c r="H82">
        <v>0</v>
      </c>
      <c r="I82">
        <v>100</v>
      </c>
      <c r="J82">
        <v>0</v>
      </c>
      <c r="K82">
        <v>0</v>
      </c>
    </row>
    <row r="83" spans="1:11">
      <c r="A83" t="s">
        <v>972</v>
      </c>
      <c r="B83">
        <v>100</v>
      </c>
      <c r="C83">
        <v>0</v>
      </c>
      <c r="D83">
        <v>0</v>
      </c>
      <c r="E83">
        <v>0</v>
      </c>
      <c r="F83">
        <v>0</v>
      </c>
      <c r="G83">
        <v>0</v>
      </c>
      <c r="H83">
        <v>99</v>
      </c>
      <c r="I83">
        <v>0</v>
      </c>
      <c r="J83">
        <v>0</v>
      </c>
      <c r="K83">
        <v>0</v>
      </c>
    </row>
    <row r="84" spans="1:11">
      <c r="A84" t="s">
        <v>972</v>
      </c>
      <c r="B84">
        <v>100</v>
      </c>
      <c r="C84">
        <v>40</v>
      </c>
      <c r="D84">
        <v>40</v>
      </c>
      <c r="E84">
        <v>40</v>
      </c>
      <c r="F84">
        <v>5</v>
      </c>
      <c r="G84">
        <v>0</v>
      </c>
      <c r="H84">
        <v>0</v>
      </c>
      <c r="I84">
        <v>0</v>
      </c>
      <c r="J84">
        <v>0</v>
      </c>
      <c r="K84">
        <v>0</v>
      </c>
    </row>
    <row r="85" spans="1:11">
      <c r="A85" t="s">
        <v>972</v>
      </c>
      <c r="B85">
        <v>100</v>
      </c>
      <c r="C85">
        <v>100</v>
      </c>
      <c r="D85">
        <v>0</v>
      </c>
      <c r="E85">
        <v>0</v>
      </c>
      <c r="F85">
        <v>0</v>
      </c>
      <c r="G85">
        <v>0</v>
      </c>
      <c r="H85">
        <v>5</v>
      </c>
      <c r="I85">
        <v>0</v>
      </c>
      <c r="J85">
        <v>0</v>
      </c>
      <c r="K85">
        <v>0</v>
      </c>
    </row>
    <row r="86" spans="1:11">
      <c r="A86" t="s">
        <v>974</v>
      </c>
      <c r="B86">
        <v>100</v>
      </c>
      <c r="C86">
        <v>0</v>
      </c>
      <c r="D86">
        <v>100</v>
      </c>
      <c r="E86">
        <v>100</v>
      </c>
      <c r="F86">
        <v>0</v>
      </c>
      <c r="G86">
        <v>0</v>
      </c>
      <c r="H86">
        <v>0</v>
      </c>
      <c r="I86">
        <v>0</v>
      </c>
      <c r="J86">
        <v>0</v>
      </c>
      <c r="K86">
        <v>0</v>
      </c>
    </row>
    <row r="87" spans="1:11">
      <c r="A87" t="s">
        <v>974</v>
      </c>
      <c r="B87">
        <v>100</v>
      </c>
      <c r="C87">
        <v>20</v>
      </c>
      <c r="D87">
        <v>0</v>
      </c>
      <c r="E87">
        <v>0</v>
      </c>
      <c r="F87">
        <v>0</v>
      </c>
      <c r="G87">
        <v>0</v>
      </c>
      <c r="H87">
        <v>0</v>
      </c>
      <c r="I87">
        <v>0</v>
      </c>
      <c r="J87">
        <v>10</v>
      </c>
      <c r="K87">
        <v>0</v>
      </c>
    </row>
    <row r="88" spans="1:11">
      <c r="A88" t="s">
        <v>974</v>
      </c>
      <c r="B88">
        <v>100</v>
      </c>
      <c r="C88">
        <v>90</v>
      </c>
      <c r="D88">
        <v>90</v>
      </c>
      <c r="E88">
        <v>80</v>
      </c>
      <c r="F88">
        <v>0</v>
      </c>
      <c r="G88">
        <v>0</v>
      </c>
      <c r="H88">
        <v>0</v>
      </c>
      <c r="I88">
        <v>0</v>
      </c>
      <c r="J88">
        <v>20</v>
      </c>
      <c r="K88">
        <v>0</v>
      </c>
    </row>
    <row r="89" spans="1:11">
      <c r="A89" t="s">
        <v>974</v>
      </c>
      <c r="B89">
        <v>100</v>
      </c>
      <c r="C89">
        <v>100</v>
      </c>
      <c r="D89">
        <v>100</v>
      </c>
      <c r="E89">
        <v>0</v>
      </c>
      <c r="F89">
        <v>0</v>
      </c>
      <c r="G89">
        <v>0</v>
      </c>
      <c r="H89">
        <v>0</v>
      </c>
      <c r="I89">
        <v>0</v>
      </c>
      <c r="J89">
        <v>0</v>
      </c>
      <c r="K89">
        <v>0</v>
      </c>
    </row>
    <row r="90" spans="1:11">
      <c r="A90" t="s">
        <v>972</v>
      </c>
      <c r="B90">
        <v>100</v>
      </c>
      <c r="C90">
        <v>5</v>
      </c>
      <c r="D90">
        <v>0</v>
      </c>
      <c r="E90">
        <v>0</v>
      </c>
      <c r="F90">
        <v>0</v>
      </c>
      <c r="G90">
        <v>0</v>
      </c>
      <c r="H90">
        <v>0</v>
      </c>
      <c r="I90">
        <v>0</v>
      </c>
      <c r="J90">
        <v>0</v>
      </c>
      <c r="K90">
        <v>0</v>
      </c>
    </row>
    <row r="91" spans="1:11">
      <c r="A91" t="s">
        <v>974</v>
      </c>
      <c r="B91">
        <v>100</v>
      </c>
      <c r="C91">
        <v>80</v>
      </c>
      <c r="D91">
        <v>80</v>
      </c>
      <c r="E91">
        <v>80</v>
      </c>
      <c r="F91">
        <v>0</v>
      </c>
      <c r="G91">
        <v>0</v>
      </c>
      <c r="H91">
        <v>0</v>
      </c>
      <c r="I91">
        <v>0</v>
      </c>
      <c r="J91">
        <v>0</v>
      </c>
      <c r="K91">
        <v>80</v>
      </c>
    </row>
    <row r="92" spans="1:11">
      <c r="A92" t="s">
        <v>972</v>
      </c>
      <c r="B92">
        <v>100</v>
      </c>
      <c r="C92">
        <v>50</v>
      </c>
      <c r="D92">
        <v>0</v>
      </c>
      <c r="E92">
        <v>0</v>
      </c>
      <c r="F92">
        <v>0</v>
      </c>
      <c r="G92">
        <v>0</v>
      </c>
      <c r="H92">
        <v>0</v>
      </c>
      <c r="I92">
        <v>0</v>
      </c>
      <c r="J92">
        <v>0</v>
      </c>
      <c r="K92">
        <v>0</v>
      </c>
    </row>
    <row r="93" spans="1:11">
      <c r="A93" t="s">
        <v>974</v>
      </c>
      <c r="B93">
        <v>100</v>
      </c>
      <c r="C93">
        <v>10</v>
      </c>
      <c r="D93">
        <v>0</v>
      </c>
      <c r="E93">
        <v>0</v>
      </c>
      <c r="F93">
        <v>0</v>
      </c>
      <c r="G93">
        <v>0</v>
      </c>
      <c r="H93">
        <v>0</v>
      </c>
      <c r="I93">
        <v>0</v>
      </c>
      <c r="J93">
        <v>0</v>
      </c>
      <c r="K93">
        <v>0</v>
      </c>
    </row>
    <row r="94" spans="1:11">
      <c r="A94" t="s">
        <v>973</v>
      </c>
      <c r="B94">
        <v>100</v>
      </c>
      <c r="C94">
        <v>75</v>
      </c>
      <c r="D94">
        <v>0</v>
      </c>
      <c r="E94">
        <v>50</v>
      </c>
      <c r="F94">
        <v>0</v>
      </c>
      <c r="G94">
        <v>0</v>
      </c>
      <c r="H94">
        <v>0</v>
      </c>
      <c r="I94">
        <v>0</v>
      </c>
      <c r="J94">
        <v>0</v>
      </c>
      <c r="K94">
        <v>0</v>
      </c>
    </row>
    <row r="95" spans="1:11">
      <c r="A95" t="s">
        <v>973</v>
      </c>
      <c r="B95">
        <v>100</v>
      </c>
      <c r="C95">
        <v>60</v>
      </c>
      <c r="D95">
        <v>0</v>
      </c>
      <c r="E95">
        <v>2</v>
      </c>
      <c r="F95">
        <v>0</v>
      </c>
      <c r="G95">
        <v>1</v>
      </c>
      <c r="H95">
        <v>1</v>
      </c>
      <c r="I95">
        <v>60</v>
      </c>
      <c r="J95">
        <v>60</v>
      </c>
      <c r="K95">
        <v>0</v>
      </c>
    </row>
    <row r="97" spans="1:12">
      <c r="A97" s="3" t="s">
        <v>1117</v>
      </c>
      <c r="B97" s="39">
        <f t="shared" ref="B97:K97" si="0">(SUM(B6:B96)/90)</f>
        <v>46.088888888888889</v>
      </c>
      <c r="C97" s="39">
        <f t="shared" si="0"/>
        <v>34.299999999999997</v>
      </c>
      <c r="D97" s="39">
        <f t="shared" si="0"/>
        <v>14.1</v>
      </c>
      <c r="E97" s="39">
        <f t="shared" si="0"/>
        <v>9.6333333333333329</v>
      </c>
      <c r="F97" s="39">
        <f t="shared" si="0"/>
        <v>2.9777777777777779</v>
      </c>
      <c r="G97" s="39">
        <f t="shared" si="0"/>
        <v>0.96666666666666667</v>
      </c>
      <c r="H97" s="39">
        <f t="shared" si="0"/>
        <v>3.0666666666666669</v>
      </c>
      <c r="I97" s="39">
        <f t="shared" si="0"/>
        <v>7.6111111111111107</v>
      </c>
      <c r="J97" s="39">
        <f t="shared" si="0"/>
        <v>5.4222222222222225</v>
      </c>
      <c r="K97" s="39">
        <f t="shared" si="0"/>
        <v>3.6777777777777776</v>
      </c>
    </row>
    <row r="99" spans="1:12">
      <c r="A99" t="s">
        <v>1123</v>
      </c>
    </row>
    <row r="101" spans="1:12">
      <c r="B101" t="s">
        <v>1108</v>
      </c>
      <c r="C101" t="s">
        <v>1109</v>
      </c>
      <c r="D101" t="s">
        <v>1110</v>
      </c>
      <c r="E101" t="s">
        <v>1111</v>
      </c>
      <c r="F101" t="s">
        <v>1112</v>
      </c>
      <c r="G101" t="s">
        <v>1113</v>
      </c>
      <c r="H101" t="s">
        <v>1114</v>
      </c>
      <c r="I101" t="s">
        <v>1115</v>
      </c>
      <c r="J101" t="s">
        <v>1116</v>
      </c>
      <c r="K101" t="s">
        <v>954</v>
      </c>
    </row>
    <row r="102" spans="1:12">
      <c r="A102" t="s">
        <v>973</v>
      </c>
      <c r="B102">
        <v>0</v>
      </c>
      <c r="C102">
        <v>10</v>
      </c>
      <c r="D102">
        <v>2</v>
      </c>
      <c r="E102">
        <v>2</v>
      </c>
      <c r="F102">
        <v>10</v>
      </c>
      <c r="G102">
        <v>1</v>
      </c>
      <c r="H102">
        <v>0</v>
      </c>
      <c r="I102">
        <v>0</v>
      </c>
      <c r="J102">
        <v>0</v>
      </c>
      <c r="K102">
        <v>0</v>
      </c>
    </row>
    <row r="103" spans="1:12">
      <c r="A103" t="s">
        <v>973</v>
      </c>
      <c r="B103">
        <v>0</v>
      </c>
      <c r="C103">
        <v>100</v>
      </c>
      <c r="D103">
        <v>25</v>
      </c>
      <c r="E103">
        <v>15</v>
      </c>
      <c r="F103">
        <v>10</v>
      </c>
      <c r="G103">
        <v>0</v>
      </c>
      <c r="H103">
        <v>0</v>
      </c>
      <c r="I103">
        <v>0</v>
      </c>
      <c r="J103">
        <v>0</v>
      </c>
      <c r="K103">
        <v>100</v>
      </c>
      <c r="L103" t="s">
        <v>575</v>
      </c>
    </row>
    <row r="104" spans="1:12">
      <c r="A104" t="s">
        <v>972</v>
      </c>
      <c r="B104">
        <v>0</v>
      </c>
      <c r="C104">
        <v>0</v>
      </c>
      <c r="D104">
        <v>0</v>
      </c>
      <c r="E104">
        <v>0</v>
      </c>
      <c r="F104">
        <v>0</v>
      </c>
      <c r="G104">
        <v>50</v>
      </c>
      <c r="H104">
        <v>50</v>
      </c>
      <c r="I104">
        <v>0</v>
      </c>
      <c r="J104">
        <v>0</v>
      </c>
      <c r="K104">
        <v>0</v>
      </c>
    </row>
    <row r="105" spans="1:12">
      <c r="A105" t="s">
        <v>972</v>
      </c>
      <c r="B105">
        <v>0</v>
      </c>
      <c r="C105">
        <v>3</v>
      </c>
      <c r="D105">
        <v>3</v>
      </c>
      <c r="E105">
        <v>3</v>
      </c>
      <c r="F105">
        <v>3</v>
      </c>
      <c r="G105">
        <v>0</v>
      </c>
      <c r="H105">
        <v>0</v>
      </c>
      <c r="I105">
        <v>0</v>
      </c>
      <c r="J105">
        <v>0</v>
      </c>
      <c r="K105">
        <v>0</v>
      </c>
    </row>
    <row r="106" spans="1:12">
      <c r="A106" t="s">
        <v>972</v>
      </c>
      <c r="B106">
        <v>0</v>
      </c>
      <c r="C106">
        <v>0</v>
      </c>
      <c r="D106">
        <v>0</v>
      </c>
      <c r="E106">
        <v>0</v>
      </c>
      <c r="F106">
        <v>0</v>
      </c>
      <c r="G106">
        <v>0</v>
      </c>
      <c r="H106">
        <v>0</v>
      </c>
      <c r="I106">
        <v>0</v>
      </c>
      <c r="J106">
        <v>0</v>
      </c>
      <c r="K106">
        <v>95</v>
      </c>
      <c r="L106" t="s">
        <v>610</v>
      </c>
    </row>
    <row r="107" spans="1:12">
      <c r="A107" t="s">
        <v>972</v>
      </c>
      <c r="B107">
        <v>0</v>
      </c>
      <c r="C107">
        <v>100</v>
      </c>
      <c r="D107">
        <v>0</v>
      </c>
      <c r="E107">
        <v>0</v>
      </c>
      <c r="F107">
        <v>0</v>
      </c>
      <c r="G107">
        <v>0</v>
      </c>
      <c r="H107">
        <v>0</v>
      </c>
      <c r="I107">
        <v>0</v>
      </c>
      <c r="J107">
        <v>0</v>
      </c>
      <c r="K107">
        <v>0</v>
      </c>
    </row>
    <row r="108" spans="1:12">
      <c r="A108" t="s">
        <v>972</v>
      </c>
      <c r="B108">
        <v>0</v>
      </c>
      <c r="C108">
        <v>40</v>
      </c>
      <c r="D108">
        <v>0</v>
      </c>
      <c r="E108">
        <v>0</v>
      </c>
      <c r="F108">
        <v>0</v>
      </c>
      <c r="G108">
        <v>0</v>
      </c>
      <c r="H108">
        <v>0</v>
      </c>
      <c r="I108">
        <v>0</v>
      </c>
      <c r="J108">
        <v>0</v>
      </c>
      <c r="K108">
        <v>0</v>
      </c>
    </row>
    <row r="109" spans="1:12">
      <c r="A109" t="s">
        <v>972</v>
      </c>
      <c r="B109">
        <v>0</v>
      </c>
      <c r="C109">
        <v>50</v>
      </c>
      <c r="D109">
        <v>0</v>
      </c>
      <c r="E109">
        <v>0</v>
      </c>
      <c r="F109">
        <v>0</v>
      </c>
      <c r="G109">
        <v>0</v>
      </c>
      <c r="H109">
        <v>0</v>
      </c>
      <c r="I109">
        <v>0</v>
      </c>
      <c r="J109">
        <v>0</v>
      </c>
      <c r="K109">
        <v>0</v>
      </c>
    </row>
    <row r="110" spans="1:12">
      <c r="A110" t="s">
        <v>972</v>
      </c>
      <c r="B110">
        <v>0</v>
      </c>
      <c r="C110">
        <v>50</v>
      </c>
      <c r="D110">
        <v>0</v>
      </c>
      <c r="E110">
        <v>0</v>
      </c>
      <c r="F110">
        <v>0</v>
      </c>
      <c r="G110">
        <v>0</v>
      </c>
      <c r="H110">
        <v>0</v>
      </c>
      <c r="I110">
        <v>0</v>
      </c>
      <c r="J110">
        <v>0</v>
      </c>
      <c r="K110">
        <v>0</v>
      </c>
    </row>
    <row r="111" spans="1:12">
      <c r="A111" t="s">
        <v>972</v>
      </c>
      <c r="B111">
        <v>0</v>
      </c>
      <c r="C111">
        <v>70</v>
      </c>
      <c r="D111">
        <v>0</v>
      </c>
      <c r="E111">
        <v>0</v>
      </c>
      <c r="F111">
        <v>0</v>
      </c>
      <c r="G111">
        <v>0</v>
      </c>
      <c r="H111">
        <v>40</v>
      </c>
      <c r="I111">
        <v>0</v>
      </c>
      <c r="J111">
        <v>0</v>
      </c>
      <c r="K111">
        <v>0</v>
      </c>
    </row>
    <row r="112" spans="1:12">
      <c r="A112" t="s">
        <v>974</v>
      </c>
      <c r="B112">
        <v>0</v>
      </c>
      <c r="C112">
        <v>100</v>
      </c>
      <c r="D112">
        <v>0</v>
      </c>
      <c r="E112">
        <v>0</v>
      </c>
      <c r="F112">
        <v>0</v>
      </c>
      <c r="G112">
        <v>0</v>
      </c>
      <c r="H112">
        <v>0</v>
      </c>
      <c r="I112">
        <v>0</v>
      </c>
      <c r="J112">
        <v>0</v>
      </c>
      <c r="K112">
        <v>0</v>
      </c>
    </row>
    <row r="113" spans="1:12">
      <c r="A113" t="s">
        <v>974</v>
      </c>
      <c r="B113">
        <v>0</v>
      </c>
      <c r="C113">
        <v>2</v>
      </c>
      <c r="D113">
        <v>0</v>
      </c>
      <c r="E113">
        <v>0</v>
      </c>
      <c r="F113">
        <v>0</v>
      </c>
      <c r="G113">
        <v>0</v>
      </c>
      <c r="H113">
        <v>0</v>
      </c>
      <c r="I113">
        <v>0</v>
      </c>
      <c r="J113">
        <v>0</v>
      </c>
      <c r="K113">
        <v>0</v>
      </c>
    </row>
    <row r="114" spans="1:12">
      <c r="A114" t="s">
        <v>974</v>
      </c>
      <c r="B114">
        <v>0</v>
      </c>
      <c r="C114">
        <v>95</v>
      </c>
      <c r="D114">
        <v>0</v>
      </c>
      <c r="E114">
        <v>0</v>
      </c>
      <c r="F114">
        <v>95</v>
      </c>
      <c r="G114">
        <v>0</v>
      </c>
      <c r="H114">
        <v>0</v>
      </c>
      <c r="I114">
        <v>0</v>
      </c>
      <c r="J114">
        <v>0</v>
      </c>
      <c r="K114">
        <v>0</v>
      </c>
    </row>
    <row r="115" spans="1:12">
      <c r="A115" t="s">
        <v>974</v>
      </c>
      <c r="B115">
        <v>0</v>
      </c>
      <c r="C115">
        <v>10</v>
      </c>
      <c r="D115">
        <v>0</v>
      </c>
      <c r="E115">
        <v>0</v>
      </c>
      <c r="F115">
        <v>0</v>
      </c>
      <c r="G115">
        <v>0</v>
      </c>
      <c r="H115">
        <v>0</v>
      </c>
      <c r="I115">
        <v>0</v>
      </c>
      <c r="J115">
        <v>0</v>
      </c>
      <c r="K115">
        <v>0</v>
      </c>
    </row>
    <row r="116" spans="1:12">
      <c r="A116" t="s">
        <v>974</v>
      </c>
      <c r="B116">
        <v>0</v>
      </c>
      <c r="C116">
        <v>100</v>
      </c>
      <c r="D116">
        <v>100</v>
      </c>
      <c r="E116">
        <v>20</v>
      </c>
      <c r="F116">
        <v>0</v>
      </c>
      <c r="G116">
        <v>10</v>
      </c>
      <c r="H116">
        <v>10</v>
      </c>
      <c r="I116">
        <v>100</v>
      </c>
      <c r="J116">
        <v>20</v>
      </c>
      <c r="K116">
        <v>0</v>
      </c>
    </row>
    <row r="117" spans="1:12">
      <c r="A117" t="s">
        <v>974</v>
      </c>
      <c r="B117">
        <v>0</v>
      </c>
      <c r="C117">
        <v>100</v>
      </c>
      <c r="D117">
        <v>0</v>
      </c>
      <c r="E117">
        <v>0</v>
      </c>
      <c r="F117">
        <v>1</v>
      </c>
      <c r="G117">
        <v>0</v>
      </c>
      <c r="H117">
        <v>1</v>
      </c>
      <c r="I117">
        <v>1</v>
      </c>
      <c r="J117">
        <v>1</v>
      </c>
      <c r="K117">
        <v>0</v>
      </c>
    </row>
    <row r="118" spans="1:12">
      <c r="A118" t="s">
        <v>974</v>
      </c>
      <c r="B118">
        <v>0</v>
      </c>
      <c r="C118">
        <v>0</v>
      </c>
      <c r="D118">
        <v>0</v>
      </c>
      <c r="E118">
        <v>0</v>
      </c>
      <c r="F118">
        <v>0</v>
      </c>
      <c r="G118">
        <v>0</v>
      </c>
      <c r="H118">
        <v>0</v>
      </c>
      <c r="I118">
        <v>0</v>
      </c>
      <c r="J118">
        <v>100</v>
      </c>
      <c r="K118">
        <v>0</v>
      </c>
    </row>
    <row r="119" spans="1:12">
      <c r="A119" t="s">
        <v>974</v>
      </c>
      <c r="B119">
        <v>0</v>
      </c>
      <c r="C119">
        <v>100</v>
      </c>
      <c r="D119">
        <v>0</v>
      </c>
      <c r="E119">
        <v>0</v>
      </c>
      <c r="F119">
        <v>0</v>
      </c>
      <c r="G119">
        <v>0</v>
      </c>
      <c r="H119">
        <v>0</v>
      </c>
      <c r="I119">
        <v>0</v>
      </c>
      <c r="J119">
        <v>0</v>
      </c>
      <c r="K119">
        <v>0</v>
      </c>
    </row>
    <row r="120" spans="1:12">
      <c r="A120" t="s">
        <v>954</v>
      </c>
      <c r="B120">
        <v>0</v>
      </c>
      <c r="C120">
        <v>100</v>
      </c>
      <c r="D120">
        <v>98</v>
      </c>
      <c r="E120">
        <v>12</v>
      </c>
      <c r="F120">
        <v>0</v>
      </c>
      <c r="G120">
        <v>0</v>
      </c>
      <c r="H120">
        <v>0</v>
      </c>
      <c r="I120">
        <v>100</v>
      </c>
      <c r="J120">
        <v>0</v>
      </c>
      <c r="K120">
        <v>0</v>
      </c>
    </row>
    <row r="121" spans="1:12">
      <c r="A121" t="s">
        <v>972</v>
      </c>
      <c r="B121">
        <v>0</v>
      </c>
      <c r="C121">
        <v>90</v>
      </c>
      <c r="D121">
        <v>0</v>
      </c>
      <c r="E121">
        <v>0</v>
      </c>
      <c r="F121">
        <v>0</v>
      </c>
      <c r="G121">
        <v>0</v>
      </c>
      <c r="H121">
        <v>0</v>
      </c>
      <c r="I121">
        <v>0</v>
      </c>
      <c r="J121">
        <v>0</v>
      </c>
      <c r="K121">
        <v>0</v>
      </c>
    </row>
    <row r="122" spans="1:12">
      <c r="A122" t="s">
        <v>973</v>
      </c>
      <c r="B122">
        <v>0</v>
      </c>
      <c r="C122">
        <v>60</v>
      </c>
      <c r="D122">
        <v>0</v>
      </c>
      <c r="E122">
        <v>0</v>
      </c>
      <c r="F122">
        <v>0</v>
      </c>
      <c r="G122">
        <v>0</v>
      </c>
      <c r="H122">
        <v>0</v>
      </c>
      <c r="I122">
        <v>0</v>
      </c>
      <c r="J122">
        <v>0</v>
      </c>
      <c r="K122">
        <v>0</v>
      </c>
    </row>
    <row r="123" spans="1:12">
      <c r="A123" t="s">
        <v>972</v>
      </c>
      <c r="B123">
        <v>0</v>
      </c>
      <c r="C123">
        <v>0</v>
      </c>
      <c r="D123">
        <v>0</v>
      </c>
      <c r="E123">
        <v>0</v>
      </c>
      <c r="F123">
        <v>0</v>
      </c>
      <c r="G123">
        <v>0</v>
      </c>
      <c r="H123">
        <v>0</v>
      </c>
      <c r="I123">
        <v>0</v>
      </c>
      <c r="J123">
        <v>30</v>
      </c>
      <c r="K123">
        <v>0</v>
      </c>
    </row>
    <row r="124" spans="1:12">
      <c r="A124" t="s">
        <v>973</v>
      </c>
      <c r="B124">
        <v>0</v>
      </c>
      <c r="C124">
        <v>100</v>
      </c>
      <c r="D124">
        <v>0</v>
      </c>
      <c r="E124">
        <v>0</v>
      </c>
      <c r="F124">
        <v>0</v>
      </c>
      <c r="G124">
        <v>0</v>
      </c>
      <c r="H124">
        <v>0</v>
      </c>
      <c r="I124">
        <v>0</v>
      </c>
      <c r="J124">
        <v>0</v>
      </c>
      <c r="K124">
        <v>0</v>
      </c>
    </row>
    <row r="125" spans="1:12">
      <c r="A125" t="s">
        <v>974</v>
      </c>
      <c r="B125">
        <v>1</v>
      </c>
      <c r="C125">
        <v>15</v>
      </c>
      <c r="D125">
        <v>15</v>
      </c>
      <c r="E125">
        <v>0</v>
      </c>
      <c r="F125">
        <v>5</v>
      </c>
      <c r="G125">
        <v>0</v>
      </c>
      <c r="H125">
        <v>1</v>
      </c>
      <c r="I125">
        <v>0</v>
      </c>
      <c r="J125">
        <v>0</v>
      </c>
      <c r="K125">
        <v>1</v>
      </c>
      <c r="L125" t="s">
        <v>571</v>
      </c>
    </row>
    <row r="126" spans="1:12">
      <c r="A126" t="s">
        <v>974</v>
      </c>
      <c r="B126">
        <v>4</v>
      </c>
      <c r="C126">
        <v>100</v>
      </c>
      <c r="D126">
        <v>0</v>
      </c>
      <c r="E126">
        <v>0</v>
      </c>
      <c r="F126">
        <v>0</v>
      </c>
      <c r="G126">
        <v>0</v>
      </c>
      <c r="H126">
        <v>0</v>
      </c>
      <c r="I126">
        <v>0</v>
      </c>
      <c r="J126">
        <v>0</v>
      </c>
      <c r="K126">
        <v>0</v>
      </c>
    </row>
    <row r="127" spans="1:12">
      <c r="A127" t="s">
        <v>972</v>
      </c>
      <c r="B127">
        <v>4</v>
      </c>
      <c r="C127">
        <v>9</v>
      </c>
      <c r="D127">
        <v>0</v>
      </c>
      <c r="E127">
        <v>0</v>
      </c>
      <c r="F127">
        <v>0</v>
      </c>
      <c r="G127">
        <v>0</v>
      </c>
      <c r="H127">
        <v>0</v>
      </c>
      <c r="I127">
        <v>0</v>
      </c>
      <c r="J127">
        <v>0</v>
      </c>
      <c r="K127">
        <v>0</v>
      </c>
    </row>
    <row r="128" spans="1:12">
      <c r="A128" t="s">
        <v>972</v>
      </c>
      <c r="B128">
        <v>5</v>
      </c>
      <c r="C128">
        <v>5</v>
      </c>
      <c r="D128">
        <v>0</v>
      </c>
      <c r="E128">
        <v>0</v>
      </c>
      <c r="F128">
        <v>0</v>
      </c>
      <c r="G128">
        <v>0</v>
      </c>
      <c r="H128">
        <v>0</v>
      </c>
      <c r="I128">
        <v>0</v>
      </c>
      <c r="J128">
        <v>0</v>
      </c>
      <c r="K128">
        <v>0</v>
      </c>
    </row>
    <row r="129" spans="1:12">
      <c r="A129" t="s">
        <v>972</v>
      </c>
      <c r="B129">
        <v>5</v>
      </c>
      <c r="C129">
        <v>10</v>
      </c>
      <c r="D129">
        <v>25</v>
      </c>
      <c r="E129">
        <v>25</v>
      </c>
      <c r="F129">
        <v>25</v>
      </c>
      <c r="G129">
        <v>30</v>
      </c>
      <c r="H129">
        <v>5</v>
      </c>
      <c r="I129">
        <v>10</v>
      </c>
      <c r="J129">
        <v>25</v>
      </c>
      <c r="K129">
        <v>0</v>
      </c>
    </row>
    <row r="130" spans="1:12">
      <c r="A130" t="s">
        <v>972</v>
      </c>
      <c r="B130">
        <v>5</v>
      </c>
      <c r="C130">
        <v>100</v>
      </c>
      <c r="D130">
        <v>100</v>
      </c>
      <c r="E130">
        <v>50</v>
      </c>
      <c r="F130">
        <v>0</v>
      </c>
      <c r="G130">
        <v>0</v>
      </c>
      <c r="H130">
        <v>0</v>
      </c>
      <c r="I130">
        <v>100</v>
      </c>
      <c r="J130">
        <v>0</v>
      </c>
      <c r="K130">
        <v>0</v>
      </c>
    </row>
    <row r="131" spans="1:12">
      <c r="A131" t="s">
        <v>974</v>
      </c>
      <c r="B131">
        <v>5</v>
      </c>
      <c r="C131">
        <v>4</v>
      </c>
      <c r="D131">
        <v>0</v>
      </c>
      <c r="E131">
        <v>0</v>
      </c>
      <c r="F131">
        <v>0</v>
      </c>
      <c r="G131">
        <v>0</v>
      </c>
      <c r="H131">
        <v>0</v>
      </c>
      <c r="I131">
        <v>0</v>
      </c>
      <c r="J131">
        <v>0</v>
      </c>
      <c r="K131">
        <v>0</v>
      </c>
    </row>
    <row r="132" spans="1:12">
      <c r="A132" t="s">
        <v>974</v>
      </c>
      <c r="B132">
        <v>5</v>
      </c>
      <c r="C132">
        <v>0</v>
      </c>
      <c r="D132">
        <v>2</v>
      </c>
      <c r="E132">
        <v>100</v>
      </c>
      <c r="F132">
        <v>0</v>
      </c>
      <c r="G132">
        <v>0</v>
      </c>
      <c r="H132">
        <v>0</v>
      </c>
      <c r="I132">
        <v>0</v>
      </c>
      <c r="J132">
        <v>0</v>
      </c>
      <c r="K132">
        <v>5</v>
      </c>
      <c r="L132" t="s">
        <v>592</v>
      </c>
    </row>
    <row r="133" spans="1:12">
      <c r="A133" t="s">
        <v>972</v>
      </c>
      <c r="B133">
        <v>5</v>
      </c>
      <c r="C133">
        <v>95</v>
      </c>
      <c r="D133">
        <v>0</v>
      </c>
      <c r="E133">
        <v>0</v>
      </c>
      <c r="F133">
        <v>0</v>
      </c>
      <c r="G133">
        <v>0</v>
      </c>
      <c r="H133">
        <v>5</v>
      </c>
      <c r="I133">
        <v>0</v>
      </c>
      <c r="J133">
        <v>0</v>
      </c>
      <c r="K133">
        <v>0</v>
      </c>
    </row>
    <row r="134" spans="1:12">
      <c r="A134" t="s">
        <v>974</v>
      </c>
      <c r="B134">
        <v>7</v>
      </c>
      <c r="C134">
        <v>7</v>
      </c>
      <c r="D134">
        <v>0</v>
      </c>
      <c r="E134">
        <v>0</v>
      </c>
      <c r="F134">
        <v>0</v>
      </c>
      <c r="G134">
        <v>0</v>
      </c>
      <c r="H134">
        <v>0</v>
      </c>
      <c r="I134">
        <v>0</v>
      </c>
      <c r="J134">
        <v>0</v>
      </c>
      <c r="K134">
        <v>0</v>
      </c>
    </row>
    <row r="135" spans="1:12">
      <c r="A135" t="s">
        <v>972</v>
      </c>
      <c r="B135">
        <v>10</v>
      </c>
      <c r="C135">
        <v>0</v>
      </c>
      <c r="D135">
        <v>0</v>
      </c>
      <c r="E135">
        <v>0</v>
      </c>
      <c r="F135">
        <v>0</v>
      </c>
      <c r="G135">
        <v>0</v>
      </c>
      <c r="H135">
        <v>0</v>
      </c>
      <c r="I135">
        <v>0</v>
      </c>
      <c r="J135">
        <v>0</v>
      </c>
      <c r="K135">
        <v>0</v>
      </c>
    </row>
    <row r="136" spans="1:12">
      <c r="A136" t="s">
        <v>974</v>
      </c>
      <c r="B136">
        <v>10</v>
      </c>
      <c r="C136">
        <v>90</v>
      </c>
      <c r="D136">
        <v>90</v>
      </c>
      <c r="E136">
        <v>90</v>
      </c>
      <c r="F136">
        <v>0</v>
      </c>
      <c r="G136">
        <v>10</v>
      </c>
      <c r="H136">
        <v>5</v>
      </c>
      <c r="I136">
        <v>25</v>
      </c>
      <c r="J136">
        <v>25</v>
      </c>
      <c r="K136">
        <v>0</v>
      </c>
    </row>
    <row r="137" spans="1:12">
      <c r="A137" t="s">
        <v>974</v>
      </c>
      <c r="B137">
        <v>10</v>
      </c>
      <c r="C137">
        <v>5</v>
      </c>
      <c r="D137">
        <v>1</v>
      </c>
      <c r="E137">
        <v>1</v>
      </c>
      <c r="F137">
        <v>0</v>
      </c>
      <c r="G137">
        <v>0</v>
      </c>
      <c r="H137">
        <v>0</v>
      </c>
      <c r="I137">
        <v>0</v>
      </c>
      <c r="J137">
        <v>1</v>
      </c>
      <c r="K137">
        <v>0</v>
      </c>
    </row>
    <row r="138" spans="1:12">
      <c r="A138" t="s">
        <v>972</v>
      </c>
      <c r="B138">
        <v>10</v>
      </c>
      <c r="C138">
        <v>10</v>
      </c>
      <c r="D138">
        <v>0</v>
      </c>
      <c r="E138">
        <v>0</v>
      </c>
      <c r="F138">
        <v>0</v>
      </c>
      <c r="G138">
        <v>2</v>
      </c>
      <c r="H138">
        <v>5</v>
      </c>
      <c r="I138">
        <v>0</v>
      </c>
      <c r="J138">
        <v>0</v>
      </c>
      <c r="K138">
        <v>0</v>
      </c>
    </row>
    <row r="139" spans="1:12">
      <c r="A139" t="s">
        <v>974</v>
      </c>
      <c r="B139">
        <v>18</v>
      </c>
      <c r="C139">
        <v>15</v>
      </c>
      <c r="D139">
        <v>5</v>
      </c>
      <c r="E139">
        <v>5</v>
      </c>
      <c r="F139">
        <v>5</v>
      </c>
      <c r="G139">
        <v>0</v>
      </c>
      <c r="H139">
        <v>0</v>
      </c>
      <c r="I139">
        <v>0</v>
      </c>
      <c r="J139">
        <v>0</v>
      </c>
      <c r="K139">
        <v>0</v>
      </c>
    </row>
    <row r="140" spans="1:12">
      <c r="A140" t="s">
        <v>972</v>
      </c>
      <c r="B140">
        <v>20</v>
      </c>
      <c r="C140">
        <v>50</v>
      </c>
      <c r="D140">
        <v>50</v>
      </c>
      <c r="E140">
        <v>50</v>
      </c>
      <c r="F140">
        <v>50</v>
      </c>
      <c r="G140">
        <v>0</v>
      </c>
      <c r="H140">
        <v>0</v>
      </c>
      <c r="I140">
        <v>0</v>
      </c>
      <c r="J140">
        <v>0</v>
      </c>
      <c r="K140">
        <v>0</v>
      </c>
    </row>
    <row r="141" spans="1:12">
      <c r="A141" t="s">
        <v>974</v>
      </c>
      <c r="B141">
        <v>20</v>
      </c>
      <c r="C141">
        <v>20</v>
      </c>
      <c r="D141">
        <v>0</v>
      </c>
      <c r="E141">
        <v>0</v>
      </c>
      <c r="F141">
        <v>0</v>
      </c>
      <c r="G141">
        <v>0</v>
      </c>
      <c r="H141">
        <v>0</v>
      </c>
      <c r="I141">
        <v>0</v>
      </c>
      <c r="J141">
        <v>0</v>
      </c>
      <c r="K141">
        <v>0</v>
      </c>
    </row>
    <row r="142" spans="1:12">
      <c r="A142" t="s">
        <v>974</v>
      </c>
      <c r="B142">
        <v>20</v>
      </c>
      <c r="C142">
        <v>20</v>
      </c>
      <c r="D142">
        <v>20</v>
      </c>
      <c r="E142">
        <v>20</v>
      </c>
      <c r="F142">
        <v>0</v>
      </c>
      <c r="G142">
        <v>0</v>
      </c>
      <c r="H142">
        <v>0</v>
      </c>
      <c r="I142">
        <v>0</v>
      </c>
      <c r="J142">
        <v>0</v>
      </c>
      <c r="K142">
        <v>0</v>
      </c>
    </row>
    <row r="143" spans="1:12">
      <c r="A143" t="s">
        <v>972</v>
      </c>
      <c r="B143">
        <v>20</v>
      </c>
      <c r="C143">
        <v>80</v>
      </c>
      <c r="D143">
        <v>2</v>
      </c>
      <c r="E143">
        <v>2</v>
      </c>
      <c r="F143">
        <v>3</v>
      </c>
      <c r="G143">
        <v>1</v>
      </c>
      <c r="H143">
        <v>2</v>
      </c>
      <c r="I143">
        <v>1</v>
      </c>
      <c r="J143">
        <v>0</v>
      </c>
      <c r="K143">
        <v>0</v>
      </c>
    </row>
    <row r="144" spans="1:12">
      <c r="A144" t="s">
        <v>972</v>
      </c>
      <c r="B144">
        <v>25</v>
      </c>
      <c r="C144">
        <v>0</v>
      </c>
      <c r="D144">
        <v>0</v>
      </c>
      <c r="E144">
        <v>0</v>
      </c>
      <c r="F144">
        <v>0</v>
      </c>
      <c r="G144">
        <v>0</v>
      </c>
      <c r="H144">
        <v>0</v>
      </c>
      <c r="I144">
        <v>0</v>
      </c>
      <c r="J144">
        <v>0</v>
      </c>
      <c r="K144">
        <v>0</v>
      </c>
    </row>
    <row r="145" spans="1:12">
      <c r="A145" t="s">
        <v>972</v>
      </c>
      <c r="B145">
        <v>25</v>
      </c>
      <c r="C145">
        <v>20</v>
      </c>
      <c r="D145">
        <v>25</v>
      </c>
      <c r="E145">
        <v>0</v>
      </c>
      <c r="F145">
        <v>0</v>
      </c>
      <c r="G145">
        <v>0</v>
      </c>
      <c r="H145">
        <v>0</v>
      </c>
      <c r="I145">
        <v>0</v>
      </c>
      <c r="J145">
        <v>0</v>
      </c>
      <c r="K145">
        <v>0</v>
      </c>
    </row>
    <row r="146" spans="1:12">
      <c r="A146" t="s">
        <v>974</v>
      </c>
      <c r="B146">
        <v>25</v>
      </c>
      <c r="C146">
        <v>0</v>
      </c>
      <c r="D146">
        <v>0</v>
      </c>
      <c r="E146">
        <v>0</v>
      </c>
      <c r="F146">
        <v>0</v>
      </c>
      <c r="G146">
        <v>0</v>
      </c>
      <c r="H146">
        <v>0</v>
      </c>
      <c r="I146">
        <v>0</v>
      </c>
      <c r="J146">
        <v>15</v>
      </c>
      <c r="K146">
        <v>0</v>
      </c>
    </row>
    <row r="147" spans="1:12">
      <c r="A147" t="s">
        <v>974</v>
      </c>
      <c r="B147">
        <v>25</v>
      </c>
      <c r="C147">
        <v>15</v>
      </c>
      <c r="D147">
        <v>15</v>
      </c>
      <c r="E147">
        <v>15</v>
      </c>
      <c r="F147">
        <v>0</v>
      </c>
      <c r="G147">
        <v>0</v>
      </c>
      <c r="H147">
        <v>0</v>
      </c>
      <c r="I147">
        <v>0</v>
      </c>
      <c r="J147">
        <v>0</v>
      </c>
      <c r="K147">
        <v>0</v>
      </c>
    </row>
    <row r="148" spans="1:12">
      <c r="A148" t="s">
        <v>954</v>
      </c>
      <c r="B148">
        <v>28</v>
      </c>
      <c r="C148">
        <v>5</v>
      </c>
      <c r="D148">
        <v>2</v>
      </c>
      <c r="E148">
        <v>3</v>
      </c>
      <c r="F148">
        <v>0</v>
      </c>
      <c r="G148">
        <v>0</v>
      </c>
      <c r="H148">
        <v>2</v>
      </c>
      <c r="I148">
        <v>1</v>
      </c>
      <c r="J148">
        <v>0</v>
      </c>
      <c r="K148">
        <v>0</v>
      </c>
    </row>
    <row r="149" spans="1:12">
      <c r="A149" t="s">
        <v>972</v>
      </c>
      <c r="B149">
        <v>40</v>
      </c>
      <c r="C149">
        <v>40</v>
      </c>
      <c r="D149">
        <v>40</v>
      </c>
      <c r="E149">
        <v>40</v>
      </c>
      <c r="F149">
        <v>0</v>
      </c>
      <c r="G149">
        <v>40</v>
      </c>
      <c r="H149">
        <v>10</v>
      </c>
      <c r="I149">
        <v>40</v>
      </c>
      <c r="J149">
        <v>0</v>
      </c>
      <c r="K149">
        <v>0</v>
      </c>
    </row>
    <row r="150" spans="1:12">
      <c r="A150" t="s">
        <v>974</v>
      </c>
      <c r="B150">
        <v>40</v>
      </c>
      <c r="C150">
        <v>0</v>
      </c>
      <c r="D150">
        <v>0</v>
      </c>
      <c r="E150">
        <v>0</v>
      </c>
      <c r="F150">
        <v>0</v>
      </c>
      <c r="G150">
        <v>0</v>
      </c>
      <c r="H150">
        <v>0</v>
      </c>
      <c r="I150">
        <v>0</v>
      </c>
      <c r="J150">
        <v>0</v>
      </c>
      <c r="K150">
        <v>0</v>
      </c>
      <c r="L150" t="s">
        <v>566</v>
      </c>
    </row>
    <row r="151" spans="1:12">
      <c r="A151" t="s">
        <v>972</v>
      </c>
      <c r="B151">
        <v>50</v>
      </c>
      <c r="C151">
        <v>5</v>
      </c>
      <c r="D151">
        <v>5</v>
      </c>
      <c r="E151">
        <v>1</v>
      </c>
      <c r="F151">
        <v>0</v>
      </c>
      <c r="G151">
        <v>1</v>
      </c>
      <c r="H151">
        <v>10</v>
      </c>
      <c r="I151">
        <v>0</v>
      </c>
      <c r="J151">
        <v>0</v>
      </c>
      <c r="K151">
        <v>0</v>
      </c>
    </row>
    <row r="152" spans="1:12">
      <c r="A152" t="s">
        <v>972</v>
      </c>
      <c r="B152">
        <v>50</v>
      </c>
      <c r="C152">
        <v>45</v>
      </c>
      <c r="D152">
        <v>40</v>
      </c>
      <c r="E152">
        <v>45</v>
      </c>
      <c r="F152">
        <v>0</v>
      </c>
      <c r="G152">
        <v>0</v>
      </c>
      <c r="H152">
        <v>6</v>
      </c>
      <c r="I152">
        <v>0</v>
      </c>
      <c r="J152">
        <v>40</v>
      </c>
      <c r="K152">
        <v>0</v>
      </c>
    </row>
    <row r="153" spans="1:12">
      <c r="A153" t="s">
        <v>972</v>
      </c>
      <c r="B153">
        <v>50</v>
      </c>
      <c r="C153">
        <v>25</v>
      </c>
      <c r="D153">
        <v>0</v>
      </c>
      <c r="E153">
        <v>0</v>
      </c>
      <c r="F153">
        <v>0</v>
      </c>
      <c r="G153">
        <v>0</v>
      </c>
      <c r="H153">
        <v>0</v>
      </c>
      <c r="I153">
        <v>0</v>
      </c>
      <c r="J153">
        <v>0</v>
      </c>
      <c r="K153">
        <v>0</v>
      </c>
    </row>
    <row r="154" spans="1:12">
      <c r="A154" t="s">
        <v>972</v>
      </c>
      <c r="B154">
        <v>60</v>
      </c>
      <c r="C154">
        <v>10</v>
      </c>
      <c r="D154">
        <v>10</v>
      </c>
      <c r="E154">
        <v>10</v>
      </c>
      <c r="F154">
        <v>0</v>
      </c>
      <c r="G154">
        <v>0</v>
      </c>
      <c r="H154">
        <v>4</v>
      </c>
      <c r="I154">
        <v>0</v>
      </c>
      <c r="J154">
        <v>0</v>
      </c>
      <c r="K154">
        <v>0</v>
      </c>
    </row>
    <row r="155" spans="1:12">
      <c r="A155" t="s">
        <v>972</v>
      </c>
      <c r="B155">
        <v>60</v>
      </c>
      <c r="C155">
        <v>15</v>
      </c>
      <c r="D155">
        <v>0</v>
      </c>
      <c r="E155">
        <v>0</v>
      </c>
      <c r="F155">
        <v>0</v>
      </c>
      <c r="G155">
        <v>0</v>
      </c>
      <c r="H155">
        <v>3</v>
      </c>
      <c r="I155">
        <v>0</v>
      </c>
      <c r="J155">
        <v>0</v>
      </c>
      <c r="K155">
        <v>0</v>
      </c>
    </row>
    <row r="156" spans="1:12">
      <c r="A156" t="s">
        <v>972</v>
      </c>
      <c r="B156">
        <v>60</v>
      </c>
      <c r="C156">
        <v>60</v>
      </c>
      <c r="D156">
        <v>60</v>
      </c>
      <c r="E156">
        <v>60</v>
      </c>
      <c r="F156">
        <v>10</v>
      </c>
      <c r="G156">
        <v>2</v>
      </c>
      <c r="H156">
        <v>1</v>
      </c>
      <c r="I156">
        <v>60</v>
      </c>
      <c r="J156">
        <v>0</v>
      </c>
      <c r="K156">
        <v>0</v>
      </c>
    </row>
    <row r="157" spans="1:12">
      <c r="A157" t="s">
        <v>972</v>
      </c>
      <c r="B157">
        <v>60</v>
      </c>
      <c r="C157">
        <v>10</v>
      </c>
      <c r="D157">
        <v>10</v>
      </c>
      <c r="E157">
        <v>0</v>
      </c>
      <c r="F157">
        <v>60</v>
      </c>
      <c r="G157">
        <v>0</v>
      </c>
      <c r="H157">
        <v>40</v>
      </c>
      <c r="I157">
        <v>0</v>
      </c>
      <c r="J157">
        <v>20</v>
      </c>
      <c r="K157">
        <v>0</v>
      </c>
    </row>
    <row r="158" spans="1:12">
      <c r="A158" t="s">
        <v>972</v>
      </c>
      <c r="B158">
        <v>60</v>
      </c>
      <c r="C158">
        <v>20</v>
      </c>
      <c r="D158">
        <v>20</v>
      </c>
      <c r="E158">
        <v>20</v>
      </c>
      <c r="F158">
        <v>0</v>
      </c>
      <c r="G158">
        <v>0</v>
      </c>
      <c r="H158">
        <v>0</v>
      </c>
      <c r="I158">
        <v>0</v>
      </c>
      <c r="J158">
        <v>0</v>
      </c>
      <c r="K158">
        <v>0</v>
      </c>
    </row>
    <row r="159" spans="1:12">
      <c r="A159" t="s">
        <v>972</v>
      </c>
      <c r="B159">
        <v>70</v>
      </c>
    </row>
    <row r="160" spans="1:12">
      <c r="A160" t="s">
        <v>972</v>
      </c>
      <c r="B160">
        <v>75</v>
      </c>
      <c r="C160">
        <v>75</v>
      </c>
      <c r="D160">
        <v>0</v>
      </c>
      <c r="E160">
        <v>0</v>
      </c>
      <c r="F160">
        <v>0</v>
      </c>
      <c r="G160">
        <v>0</v>
      </c>
      <c r="H160">
        <v>0</v>
      </c>
      <c r="I160">
        <v>0</v>
      </c>
      <c r="J160">
        <v>0</v>
      </c>
      <c r="K160">
        <v>0</v>
      </c>
    </row>
    <row r="161" spans="1:12">
      <c r="A161" t="s">
        <v>954</v>
      </c>
      <c r="B161">
        <v>80</v>
      </c>
      <c r="C161">
        <v>50</v>
      </c>
      <c r="D161">
        <v>0</v>
      </c>
      <c r="E161">
        <v>5</v>
      </c>
      <c r="F161">
        <v>0</v>
      </c>
      <c r="G161">
        <v>5</v>
      </c>
      <c r="H161">
        <v>5</v>
      </c>
      <c r="I161">
        <v>0</v>
      </c>
      <c r="J161">
        <v>0</v>
      </c>
      <c r="K161">
        <v>0</v>
      </c>
    </row>
    <row r="162" spans="1:12">
      <c r="A162" t="s">
        <v>972</v>
      </c>
      <c r="B162">
        <v>80</v>
      </c>
      <c r="C162">
        <v>50</v>
      </c>
      <c r="D162">
        <v>0</v>
      </c>
      <c r="E162">
        <v>0</v>
      </c>
      <c r="F162">
        <v>50</v>
      </c>
      <c r="G162">
        <v>0</v>
      </c>
      <c r="H162">
        <v>0</v>
      </c>
      <c r="I162">
        <v>0</v>
      </c>
      <c r="J162">
        <v>0</v>
      </c>
      <c r="K162">
        <v>0</v>
      </c>
    </row>
    <row r="163" spans="1:12">
      <c r="A163" t="s">
        <v>972</v>
      </c>
      <c r="B163">
        <v>80</v>
      </c>
      <c r="C163">
        <v>0</v>
      </c>
      <c r="D163">
        <v>0</v>
      </c>
      <c r="E163">
        <v>0</v>
      </c>
      <c r="F163">
        <v>0</v>
      </c>
      <c r="G163">
        <v>0</v>
      </c>
      <c r="H163">
        <v>0</v>
      </c>
      <c r="I163">
        <v>0</v>
      </c>
      <c r="J163">
        <v>0</v>
      </c>
      <c r="K163">
        <v>80</v>
      </c>
      <c r="L163" t="s">
        <v>595</v>
      </c>
    </row>
    <row r="164" spans="1:12">
      <c r="A164" t="s">
        <v>974</v>
      </c>
      <c r="B164">
        <v>85</v>
      </c>
      <c r="C164">
        <v>10</v>
      </c>
      <c r="D164">
        <v>10</v>
      </c>
      <c r="E164">
        <v>0</v>
      </c>
      <c r="F164">
        <v>0</v>
      </c>
      <c r="G164">
        <v>0</v>
      </c>
      <c r="H164">
        <v>8</v>
      </c>
      <c r="I164">
        <v>0</v>
      </c>
      <c r="J164">
        <v>0</v>
      </c>
      <c r="K164">
        <v>0</v>
      </c>
    </row>
    <row r="165" spans="1:12">
      <c r="A165" t="s">
        <v>972</v>
      </c>
      <c r="B165">
        <v>90</v>
      </c>
      <c r="C165">
        <v>80</v>
      </c>
      <c r="D165">
        <v>0</v>
      </c>
      <c r="E165">
        <v>0</v>
      </c>
      <c r="F165">
        <v>0</v>
      </c>
      <c r="G165">
        <v>0</v>
      </c>
      <c r="H165">
        <v>0</v>
      </c>
      <c r="I165">
        <v>0</v>
      </c>
      <c r="J165">
        <v>0</v>
      </c>
      <c r="K165">
        <v>0</v>
      </c>
    </row>
    <row r="166" spans="1:12">
      <c r="A166" t="s">
        <v>972</v>
      </c>
      <c r="B166">
        <v>90</v>
      </c>
      <c r="C166">
        <v>0</v>
      </c>
      <c r="D166">
        <v>75</v>
      </c>
      <c r="E166">
        <v>75</v>
      </c>
      <c r="F166">
        <v>0</v>
      </c>
      <c r="G166">
        <v>0</v>
      </c>
      <c r="H166">
        <v>50</v>
      </c>
      <c r="I166">
        <v>0</v>
      </c>
      <c r="J166">
        <v>0</v>
      </c>
      <c r="K166">
        <v>0</v>
      </c>
    </row>
    <row r="167" spans="1:12">
      <c r="A167" t="s">
        <v>972</v>
      </c>
      <c r="B167">
        <v>90</v>
      </c>
      <c r="C167">
        <v>75</v>
      </c>
      <c r="D167">
        <v>40</v>
      </c>
      <c r="E167">
        <v>30</v>
      </c>
      <c r="F167">
        <v>30</v>
      </c>
      <c r="G167">
        <v>20</v>
      </c>
      <c r="H167">
        <v>20</v>
      </c>
      <c r="I167">
        <v>20</v>
      </c>
      <c r="J167">
        <v>20</v>
      </c>
      <c r="K167">
        <v>10</v>
      </c>
    </row>
    <row r="168" spans="1:12">
      <c r="A168" t="s">
        <v>972</v>
      </c>
      <c r="B168">
        <v>90</v>
      </c>
      <c r="C168">
        <v>0</v>
      </c>
      <c r="D168">
        <v>80</v>
      </c>
      <c r="E168">
        <v>80</v>
      </c>
      <c r="F168">
        <v>0</v>
      </c>
      <c r="G168">
        <v>10</v>
      </c>
      <c r="H168">
        <v>2</v>
      </c>
      <c r="I168">
        <v>80</v>
      </c>
      <c r="J168">
        <v>40</v>
      </c>
      <c r="K168">
        <v>0</v>
      </c>
    </row>
    <row r="169" spans="1:12">
      <c r="A169" t="s">
        <v>972</v>
      </c>
      <c r="B169">
        <v>95</v>
      </c>
      <c r="C169">
        <v>25</v>
      </c>
      <c r="D169">
        <v>0</v>
      </c>
      <c r="E169">
        <v>0</v>
      </c>
      <c r="F169">
        <v>0</v>
      </c>
      <c r="G169">
        <v>0</v>
      </c>
      <c r="H169">
        <v>0</v>
      </c>
      <c r="I169">
        <v>0</v>
      </c>
      <c r="J169">
        <v>0</v>
      </c>
      <c r="K169">
        <v>0</v>
      </c>
    </row>
    <row r="170" spans="1:12">
      <c r="A170" t="s">
        <v>972</v>
      </c>
      <c r="B170">
        <v>95</v>
      </c>
      <c r="C170">
        <v>95</v>
      </c>
      <c r="D170">
        <v>95</v>
      </c>
      <c r="E170">
        <v>95</v>
      </c>
      <c r="F170">
        <v>0</v>
      </c>
      <c r="G170">
        <v>0</v>
      </c>
      <c r="H170">
        <v>0</v>
      </c>
      <c r="I170">
        <v>0</v>
      </c>
      <c r="J170">
        <v>0</v>
      </c>
      <c r="K170">
        <v>0</v>
      </c>
    </row>
    <row r="171" spans="1:12">
      <c r="A171" t="s">
        <v>972</v>
      </c>
      <c r="B171">
        <v>95</v>
      </c>
      <c r="C171">
        <v>85</v>
      </c>
      <c r="D171">
        <v>85</v>
      </c>
      <c r="E171">
        <v>85</v>
      </c>
      <c r="F171">
        <v>85</v>
      </c>
      <c r="G171">
        <v>5</v>
      </c>
      <c r="H171">
        <v>5</v>
      </c>
      <c r="I171">
        <v>20</v>
      </c>
      <c r="J171">
        <v>0</v>
      </c>
      <c r="K171">
        <v>0</v>
      </c>
    </row>
    <row r="172" spans="1:12">
      <c r="A172" t="s">
        <v>972</v>
      </c>
      <c r="B172">
        <v>95</v>
      </c>
      <c r="C172">
        <v>95</v>
      </c>
      <c r="D172">
        <v>50</v>
      </c>
      <c r="E172">
        <v>50</v>
      </c>
      <c r="F172">
        <v>95</v>
      </c>
      <c r="G172">
        <v>5</v>
      </c>
      <c r="H172">
        <v>10</v>
      </c>
      <c r="I172">
        <v>0</v>
      </c>
      <c r="J172">
        <v>0</v>
      </c>
      <c r="K172">
        <v>0</v>
      </c>
    </row>
    <row r="173" spans="1:12">
      <c r="A173" t="s">
        <v>972</v>
      </c>
      <c r="B173">
        <v>95</v>
      </c>
      <c r="C173">
        <v>65</v>
      </c>
      <c r="D173">
        <v>40</v>
      </c>
      <c r="E173">
        <v>40</v>
      </c>
      <c r="F173">
        <v>0</v>
      </c>
      <c r="G173">
        <v>0</v>
      </c>
      <c r="H173">
        <v>0</v>
      </c>
      <c r="I173">
        <v>50</v>
      </c>
      <c r="J173">
        <v>0</v>
      </c>
      <c r="K173">
        <v>0</v>
      </c>
    </row>
    <row r="174" spans="1:12">
      <c r="A174" t="s">
        <v>972</v>
      </c>
      <c r="B174">
        <v>98</v>
      </c>
      <c r="C174">
        <v>95</v>
      </c>
      <c r="D174">
        <v>25</v>
      </c>
      <c r="E174">
        <v>25</v>
      </c>
      <c r="F174">
        <v>0</v>
      </c>
      <c r="G174">
        <v>10</v>
      </c>
      <c r="H174">
        <v>15</v>
      </c>
      <c r="I174">
        <v>95</v>
      </c>
      <c r="J174">
        <v>0</v>
      </c>
      <c r="K174">
        <v>0</v>
      </c>
    </row>
    <row r="175" spans="1:12">
      <c r="A175" t="s">
        <v>973</v>
      </c>
      <c r="B175">
        <v>100</v>
      </c>
      <c r="C175">
        <v>95</v>
      </c>
      <c r="D175">
        <v>10</v>
      </c>
      <c r="E175">
        <v>10</v>
      </c>
      <c r="F175">
        <v>0</v>
      </c>
      <c r="G175">
        <v>0</v>
      </c>
      <c r="H175">
        <v>0</v>
      </c>
      <c r="I175">
        <v>10</v>
      </c>
      <c r="J175">
        <v>0</v>
      </c>
      <c r="K175">
        <v>0</v>
      </c>
    </row>
    <row r="176" spans="1:12">
      <c r="A176" t="s">
        <v>972</v>
      </c>
      <c r="B176">
        <v>100</v>
      </c>
      <c r="C176">
        <v>100</v>
      </c>
      <c r="D176">
        <v>100</v>
      </c>
      <c r="E176">
        <v>50</v>
      </c>
      <c r="F176">
        <v>0</v>
      </c>
      <c r="G176">
        <v>50</v>
      </c>
      <c r="H176">
        <v>100</v>
      </c>
      <c r="I176">
        <v>100</v>
      </c>
      <c r="J176">
        <v>100</v>
      </c>
      <c r="K176">
        <v>0</v>
      </c>
    </row>
    <row r="177" spans="1:12">
      <c r="A177" t="s">
        <v>972</v>
      </c>
      <c r="B177">
        <v>100</v>
      </c>
      <c r="C177">
        <v>100</v>
      </c>
      <c r="D177">
        <v>0</v>
      </c>
      <c r="E177">
        <v>0</v>
      </c>
      <c r="F177">
        <v>0</v>
      </c>
      <c r="G177">
        <v>0</v>
      </c>
      <c r="H177">
        <v>0</v>
      </c>
      <c r="I177">
        <v>0</v>
      </c>
      <c r="J177">
        <v>0</v>
      </c>
      <c r="K177">
        <v>0</v>
      </c>
    </row>
    <row r="178" spans="1:12">
      <c r="A178" t="s">
        <v>972</v>
      </c>
      <c r="B178">
        <v>100</v>
      </c>
      <c r="C178">
        <v>20</v>
      </c>
      <c r="D178">
        <v>0</v>
      </c>
      <c r="E178">
        <v>0</v>
      </c>
      <c r="F178">
        <v>0</v>
      </c>
      <c r="G178">
        <v>0</v>
      </c>
      <c r="H178">
        <v>0</v>
      </c>
      <c r="I178">
        <v>0</v>
      </c>
      <c r="J178">
        <v>0</v>
      </c>
      <c r="K178">
        <v>0</v>
      </c>
    </row>
    <row r="179" spans="1:12">
      <c r="A179" t="s">
        <v>972</v>
      </c>
      <c r="B179">
        <v>100</v>
      </c>
      <c r="C179">
        <v>0</v>
      </c>
      <c r="D179">
        <v>0</v>
      </c>
      <c r="E179">
        <v>0</v>
      </c>
      <c r="F179">
        <v>0</v>
      </c>
      <c r="G179">
        <v>0</v>
      </c>
      <c r="H179">
        <v>0</v>
      </c>
      <c r="I179">
        <v>0</v>
      </c>
      <c r="J179">
        <v>0</v>
      </c>
      <c r="K179">
        <v>0</v>
      </c>
    </row>
    <row r="180" spans="1:12">
      <c r="A180" t="s">
        <v>972</v>
      </c>
      <c r="B180">
        <v>100</v>
      </c>
      <c r="C180">
        <v>100</v>
      </c>
      <c r="D180">
        <v>10</v>
      </c>
      <c r="E180">
        <v>10</v>
      </c>
      <c r="F180">
        <v>0</v>
      </c>
      <c r="G180">
        <v>0</v>
      </c>
      <c r="H180">
        <v>0</v>
      </c>
      <c r="I180">
        <v>100</v>
      </c>
      <c r="J180">
        <v>0</v>
      </c>
      <c r="K180">
        <v>0</v>
      </c>
    </row>
    <row r="181" spans="1:12">
      <c r="A181" t="s">
        <v>972</v>
      </c>
      <c r="B181">
        <v>100</v>
      </c>
      <c r="C181">
        <v>0</v>
      </c>
      <c r="D181">
        <v>0</v>
      </c>
      <c r="E181">
        <v>0</v>
      </c>
      <c r="F181">
        <v>0</v>
      </c>
      <c r="G181">
        <v>0</v>
      </c>
      <c r="H181">
        <v>99</v>
      </c>
      <c r="I181">
        <v>0</v>
      </c>
      <c r="J181">
        <v>0</v>
      </c>
      <c r="K181">
        <v>0</v>
      </c>
    </row>
    <row r="182" spans="1:12">
      <c r="A182" t="s">
        <v>972</v>
      </c>
      <c r="B182">
        <v>100</v>
      </c>
      <c r="C182">
        <v>100</v>
      </c>
      <c r="D182">
        <v>50</v>
      </c>
      <c r="E182">
        <v>50</v>
      </c>
      <c r="F182">
        <v>0</v>
      </c>
      <c r="G182">
        <v>0</v>
      </c>
      <c r="H182">
        <v>5</v>
      </c>
      <c r="I182">
        <v>0</v>
      </c>
      <c r="J182">
        <v>0</v>
      </c>
      <c r="K182">
        <v>0</v>
      </c>
    </row>
    <row r="183" spans="1:12">
      <c r="A183" t="s">
        <v>972</v>
      </c>
      <c r="B183">
        <v>100</v>
      </c>
      <c r="C183">
        <v>70</v>
      </c>
      <c r="D183">
        <v>70</v>
      </c>
      <c r="E183">
        <v>70</v>
      </c>
      <c r="F183">
        <v>70</v>
      </c>
      <c r="G183">
        <v>70</v>
      </c>
      <c r="H183">
        <v>0</v>
      </c>
      <c r="I183">
        <v>0</v>
      </c>
      <c r="J183">
        <v>0</v>
      </c>
      <c r="K183">
        <v>0</v>
      </c>
    </row>
    <row r="184" spans="1:12">
      <c r="A184" t="s">
        <v>974</v>
      </c>
      <c r="B184">
        <v>100</v>
      </c>
      <c r="C184">
        <v>0</v>
      </c>
      <c r="D184">
        <v>100</v>
      </c>
      <c r="E184">
        <v>100</v>
      </c>
      <c r="F184">
        <v>0</v>
      </c>
      <c r="G184">
        <v>0</v>
      </c>
      <c r="H184">
        <v>0</v>
      </c>
      <c r="I184">
        <v>0</v>
      </c>
      <c r="J184">
        <v>0</v>
      </c>
      <c r="K184">
        <v>0</v>
      </c>
    </row>
    <row r="185" spans="1:12">
      <c r="A185" t="s">
        <v>974</v>
      </c>
      <c r="B185">
        <v>100</v>
      </c>
      <c r="C185">
        <v>100</v>
      </c>
      <c r="D185">
        <v>100</v>
      </c>
      <c r="E185">
        <v>20</v>
      </c>
      <c r="F185">
        <v>0</v>
      </c>
      <c r="G185">
        <v>0</v>
      </c>
      <c r="H185">
        <v>20</v>
      </c>
      <c r="I185">
        <v>20</v>
      </c>
      <c r="J185">
        <v>25</v>
      </c>
      <c r="K185">
        <v>0</v>
      </c>
    </row>
    <row r="186" spans="1:12">
      <c r="A186" t="s">
        <v>974</v>
      </c>
      <c r="B186">
        <v>100</v>
      </c>
      <c r="C186">
        <v>100</v>
      </c>
      <c r="D186">
        <v>100</v>
      </c>
      <c r="E186">
        <v>100</v>
      </c>
      <c r="F186">
        <v>0</v>
      </c>
      <c r="G186">
        <v>0</v>
      </c>
      <c r="H186">
        <v>100</v>
      </c>
      <c r="I186">
        <v>0</v>
      </c>
      <c r="J186">
        <v>0</v>
      </c>
      <c r="K186">
        <v>100</v>
      </c>
      <c r="L186" t="s">
        <v>560</v>
      </c>
    </row>
    <row r="187" spans="1:12">
      <c r="A187" t="s">
        <v>972</v>
      </c>
      <c r="B187">
        <v>100</v>
      </c>
      <c r="C187">
        <v>10</v>
      </c>
      <c r="D187">
        <v>0</v>
      </c>
      <c r="E187">
        <v>0</v>
      </c>
      <c r="F187">
        <v>0</v>
      </c>
      <c r="G187">
        <v>0</v>
      </c>
      <c r="H187">
        <v>0</v>
      </c>
      <c r="I187">
        <v>0</v>
      </c>
      <c r="J187">
        <v>0</v>
      </c>
      <c r="K187">
        <v>0</v>
      </c>
    </row>
    <row r="188" spans="1:12">
      <c r="A188" t="s">
        <v>974</v>
      </c>
      <c r="B188">
        <v>100</v>
      </c>
      <c r="C188">
        <v>20</v>
      </c>
      <c r="D188">
        <v>0</v>
      </c>
      <c r="E188">
        <v>0</v>
      </c>
      <c r="F188">
        <v>0</v>
      </c>
      <c r="G188">
        <v>0</v>
      </c>
      <c r="H188">
        <v>0</v>
      </c>
      <c r="I188">
        <v>0</v>
      </c>
      <c r="J188">
        <v>0</v>
      </c>
      <c r="K188">
        <v>0</v>
      </c>
    </row>
    <row r="189" spans="1:12">
      <c r="A189" t="s">
        <v>973</v>
      </c>
      <c r="B189">
        <v>100</v>
      </c>
      <c r="C189">
        <v>85</v>
      </c>
      <c r="D189">
        <v>0</v>
      </c>
      <c r="E189">
        <v>30</v>
      </c>
      <c r="F189">
        <v>0</v>
      </c>
      <c r="G189">
        <v>0</v>
      </c>
      <c r="H189">
        <v>0</v>
      </c>
      <c r="I189">
        <v>0</v>
      </c>
      <c r="J189">
        <v>0</v>
      </c>
      <c r="K189">
        <v>0</v>
      </c>
    </row>
    <row r="190" spans="1:12">
      <c r="A190" t="s">
        <v>973</v>
      </c>
      <c r="B190">
        <v>100</v>
      </c>
      <c r="C190">
        <v>62</v>
      </c>
      <c r="D190">
        <v>62</v>
      </c>
      <c r="E190">
        <v>62</v>
      </c>
      <c r="F190">
        <v>0</v>
      </c>
      <c r="G190">
        <v>15</v>
      </c>
      <c r="H190">
        <v>2</v>
      </c>
      <c r="I190">
        <v>62</v>
      </c>
      <c r="J190">
        <v>62</v>
      </c>
      <c r="K190">
        <v>0</v>
      </c>
    </row>
    <row r="191" spans="1:12">
      <c r="A191" t="s">
        <v>954</v>
      </c>
      <c r="B191">
        <v>100</v>
      </c>
      <c r="C191">
        <v>10</v>
      </c>
      <c r="D191">
        <v>2</v>
      </c>
      <c r="E191">
        <v>2</v>
      </c>
      <c r="F191">
        <v>0</v>
      </c>
      <c r="G191">
        <v>2</v>
      </c>
      <c r="H191">
        <v>2</v>
      </c>
      <c r="I191">
        <v>58</v>
      </c>
      <c r="J191">
        <v>10</v>
      </c>
      <c r="K191">
        <v>0</v>
      </c>
    </row>
    <row r="193" spans="1:15">
      <c r="A193" s="3" t="s">
        <v>977</v>
      </c>
      <c r="B193" s="39">
        <f t="shared" ref="B193:K193" si="1">(SUM(B102:B192)/90)</f>
        <v>43.833333333333336</v>
      </c>
      <c r="C193" s="39">
        <f t="shared" si="1"/>
        <v>43.966666666666669</v>
      </c>
      <c r="D193" s="39">
        <f t="shared" si="1"/>
        <v>20.766666666666666</v>
      </c>
      <c r="E193" s="39">
        <f t="shared" si="1"/>
        <v>17.533333333333335</v>
      </c>
      <c r="F193" s="39">
        <f t="shared" si="1"/>
        <v>6.7444444444444445</v>
      </c>
      <c r="G193" s="39">
        <f t="shared" si="1"/>
        <v>3.7666666666666666</v>
      </c>
      <c r="H193" s="39">
        <f t="shared" si="1"/>
        <v>7.1444444444444448</v>
      </c>
      <c r="I193" s="39">
        <f t="shared" si="1"/>
        <v>11.7</v>
      </c>
      <c r="J193" s="39">
        <f t="shared" si="1"/>
        <v>5.9333333333333336</v>
      </c>
      <c r="K193" s="39">
        <f t="shared" si="1"/>
        <v>4.3444444444444441</v>
      </c>
    </row>
    <row r="195" spans="1:15">
      <c r="A195" s="1" t="s">
        <v>1121</v>
      </c>
    </row>
    <row r="196" spans="1:15">
      <c r="A196" t="s">
        <v>632</v>
      </c>
    </row>
    <row r="197" spans="1:15">
      <c r="A197" t="s">
        <v>1122</v>
      </c>
    </row>
    <row r="198" spans="1:15">
      <c r="A198" t="s">
        <v>1124</v>
      </c>
    </row>
    <row r="199" spans="1:15">
      <c r="A199" t="s">
        <v>1125</v>
      </c>
    </row>
    <row r="200" spans="1:15">
      <c r="A200" t="s">
        <v>1126</v>
      </c>
    </row>
    <row r="201" spans="1:15">
      <c r="A201" t="s">
        <v>592</v>
      </c>
    </row>
    <row r="202" spans="1:15">
      <c r="A202" t="s">
        <v>595</v>
      </c>
    </row>
    <row r="204" spans="1:15">
      <c r="A204" s="3" t="s">
        <v>1095</v>
      </c>
    </row>
    <row r="205" spans="1:15">
      <c r="B205" t="s">
        <v>1108</v>
      </c>
      <c r="C205" t="s">
        <v>1109</v>
      </c>
      <c r="D205" t="s">
        <v>1110</v>
      </c>
      <c r="E205" t="s">
        <v>1111</v>
      </c>
      <c r="F205" t="s">
        <v>1112</v>
      </c>
      <c r="G205" t="s">
        <v>1113</v>
      </c>
      <c r="H205" t="s">
        <v>1114</v>
      </c>
      <c r="I205" t="s">
        <v>1115</v>
      </c>
      <c r="J205" t="s">
        <v>1116</v>
      </c>
      <c r="K205" t="s">
        <v>954</v>
      </c>
      <c r="M205" t="s">
        <v>1243</v>
      </c>
    </row>
    <row r="206" spans="1:15">
      <c r="A206" t="s">
        <v>974</v>
      </c>
      <c r="B206">
        <v>0</v>
      </c>
      <c r="C206">
        <v>100</v>
      </c>
      <c r="D206">
        <v>0</v>
      </c>
      <c r="E206">
        <v>0</v>
      </c>
      <c r="F206">
        <v>0</v>
      </c>
      <c r="G206">
        <v>0</v>
      </c>
      <c r="H206">
        <v>0</v>
      </c>
      <c r="I206">
        <v>0</v>
      </c>
      <c r="J206">
        <v>0</v>
      </c>
      <c r="K206">
        <v>0</v>
      </c>
      <c r="N206" t="s">
        <v>1119</v>
      </c>
      <c r="O206" t="s">
        <v>1120</v>
      </c>
    </row>
    <row r="207" spans="1:15">
      <c r="A207" t="s">
        <v>974</v>
      </c>
      <c r="B207">
        <v>0</v>
      </c>
      <c r="C207">
        <v>2</v>
      </c>
      <c r="D207">
        <v>0</v>
      </c>
      <c r="E207">
        <v>0</v>
      </c>
      <c r="F207">
        <v>0</v>
      </c>
      <c r="G207">
        <v>0</v>
      </c>
      <c r="H207">
        <v>0</v>
      </c>
      <c r="I207">
        <v>0</v>
      </c>
      <c r="J207">
        <v>0</v>
      </c>
      <c r="K207">
        <v>0</v>
      </c>
      <c r="M207" t="s">
        <v>1108</v>
      </c>
      <c r="N207" s="25">
        <v>0.32</v>
      </c>
      <c r="O207" s="25">
        <v>0.26</v>
      </c>
    </row>
    <row r="208" spans="1:15">
      <c r="A208" t="s">
        <v>974</v>
      </c>
      <c r="B208">
        <v>0</v>
      </c>
      <c r="C208">
        <v>5</v>
      </c>
      <c r="D208">
        <v>0</v>
      </c>
      <c r="E208">
        <v>0</v>
      </c>
      <c r="F208">
        <v>5</v>
      </c>
      <c r="G208">
        <v>0</v>
      </c>
      <c r="H208">
        <v>0</v>
      </c>
      <c r="I208">
        <v>0</v>
      </c>
      <c r="J208">
        <v>0</v>
      </c>
      <c r="K208">
        <v>0</v>
      </c>
      <c r="M208" t="s">
        <v>1109</v>
      </c>
      <c r="N208" s="25">
        <v>0.3</v>
      </c>
      <c r="O208" s="25">
        <v>0.4</v>
      </c>
    </row>
    <row r="209" spans="1:15">
      <c r="A209" t="s">
        <v>974</v>
      </c>
      <c r="B209">
        <v>0</v>
      </c>
      <c r="C209">
        <v>5</v>
      </c>
      <c r="D209">
        <v>0</v>
      </c>
      <c r="E209">
        <v>0</v>
      </c>
      <c r="F209">
        <v>0</v>
      </c>
      <c r="G209">
        <v>0</v>
      </c>
      <c r="H209">
        <v>0</v>
      </c>
      <c r="I209">
        <v>0</v>
      </c>
      <c r="J209">
        <v>0</v>
      </c>
      <c r="K209">
        <v>0</v>
      </c>
      <c r="M209" t="s">
        <v>1110</v>
      </c>
      <c r="N209" s="25">
        <v>0.18</v>
      </c>
      <c r="O209" s="25">
        <v>0.21</v>
      </c>
    </row>
    <row r="210" spans="1:15">
      <c r="A210" t="s">
        <v>974</v>
      </c>
      <c r="B210">
        <v>0</v>
      </c>
      <c r="C210">
        <v>5</v>
      </c>
      <c r="D210">
        <v>5</v>
      </c>
      <c r="E210">
        <v>0</v>
      </c>
      <c r="F210">
        <v>2</v>
      </c>
      <c r="G210">
        <v>0</v>
      </c>
      <c r="H210">
        <v>0</v>
      </c>
      <c r="I210">
        <v>0</v>
      </c>
      <c r="J210">
        <v>0</v>
      </c>
      <c r="K210">
        <v>1</v>
      </c>
      <c r="M210" t="s">
        <v>1111</v>
      </c>
      <c r="N210" s="25">
        <v>0.14000000000000001</v>
      </c>
      <c r="O210" s="25">
        <v>0.18</v>
      </c>
    </row>
    <row r="211" spans="1:15">
      <c r="A211" t="s">
        <v>974</v>
      </c>
      <c r="B211">
        <v>0</v>
      </c>
      <c r="C211">
        <v>0</v>
      </c>
      <c r="D211">
        <v>0</v>
      </c>
      <c r="E211">
        <v>0</v>
      </c>
      <c r="F211">
        <v>0</v>
      </c>
      <c r="G211">
        <v>0</v>
      </c>
      <c r="H211">
        <v>0</v>
      </c>
      <c r="I211">
        <v>0</v>
      </c>
      <c r="J211">
        <v>100</v>
      </c>
      <c r="K211">
        <v>0</v>
      </c>
      <c r="M211" t="s">
        <v>1112</v>
      </c>
      <c r="N211" s="25">
        <v>0</v>
      </c>
      <c r="O211" s="25">
        <v>0.04</v>
      </c>
    </row>
    <row r="212" spans="1:15">
      <c r="A212" t="s">
        <v>974</v>
      </c>
      <c r="B212">
        <v>0</v>
      </c>
      <c r="C212">
        <v>100</v>
      </c>
      <c r="D212">
        <v>0</v>
      </c>
      <c r="E212">
        <v>0</v>
      </c>
      <c r="F212">
        <v>0</v>
      </c>
      <c r="G212">
        <v>0</v>
      </c>
      <c r="H212">
        <v>0</v>
      </c>
      <c r="I212">
        <v>0</v>
      </c>
      <c r="J212">
        <v>0</v>
      </c>
      <c r="K212">
        <v>0</v>
      </c>
      <c r="M212" t="s">
        <v>1113</v>
      </c>
      <c r="N212" s="25">
        <v>0</v>
      </c>
      <c r="O212" s="25">
        <v>0.01</v>
      </c>
    </row>
    <row r="213" spans="1:15">
      <c r="A213" t="s">
        <v>974</v>
      </c>
      <c r="B213">
        <v>2</v>
      </c>
      <c r="C213">
        <v>0</v>
      </c>
      <c r="D213">
        <v>0</v>
      </c>
      <c r="E213">
        <v>0</v>
      </c>
      <c r="F213">
        <v>0</v>
      </c>
      <c r="G213">
        <v>0</v>
      </c>
      <c r="H213">
        <v>0</v>
      </c>
      <c r="I213">
        <v>0</v>
      </c>
      <c r="J213">
        <v>0</v>
      </c>
      <c r="K213">
        <v>0</v>
      </c>
      <c r="M213" t="s">
        <v>1114</v>
      </c>
      <c r="N213" s="25">
        <v>0</v>
      </c>
      <c r="O213" s="25">
        <v>0.06</v>
      </c>
    </row>
    <row r="214" spans="1:15">
      <c r="A214" t="s">
        <v>974</v>
      </c>
      <c r="B214">
        <v>2</v>
      </c>
      <c r="C214">
        <v>100</v>
      </c>
      <c r="D214">
        <v>0</v>
      </c>
      <c r="E214">
        <v>0</v>
      </c>
      <c r="F214">
        <v>0</v>
      </c>
      <c r="G214">
        <v>0</v>
      </c>
      <c r="H214">
        <v>0</v>
      </c>
      <c r="I214">
        <v>0</v>
      </c>
      <c r="J214">
        <v>0</v>
      </c>
      <c r="K214">
        <v>0</v>
      </c>
      <c r="M214" t="s">
        <v>1115</v>
      </c>
      <c r="N214" s="25">
        <v>0.01</v>
      </c>
      <c r="O214" s="25">
        <v>0.06</v>
      </c>
    </row>
    <row r="215" spans="1:15">
      <c r="A215" t="s">
        <v>974</v>
      </c>
      <c r="B215">
        <v>5</v>
      </c>
      <c r="C215">
        <v>5</v>
      </c>
      <c r="D215">
        <v>0</v>
      </c>
      <c r="E215">
        <v>0</v>
      </c>
      <c r="F215">
        <v>0</v>
      </c>
      <c r="G215">
        <v>0</v>
      </c>
      <c r="H215">
        <v>0</v>
      </c>
      <c r="I215">
        <v>0</v>
      </c>
      <c r="J215">
        <v>0</v>
      </c>
      <c r="K215">
        <v>0</v>
      </c>
      <c r="M215" t="s">
        <v>1116</v>
      </c>
      <c r="N215" s="25">
        <v>0.06</v>
      </c>
      <c r="O215" s="25">
        <v>7.0000000000000007E-2</v>
      </c>
    </row>
    <row r="216" spans="1:15">
      <c r="A216" t="s">
        <v>974</v>
      </c>
      <c r="B216">
        <v>5</v>
      </c>
      <c r="C216">
        <v>2</v>
      </c>
      <c r="D216">
        <v>0</v>
      </c>
      <c r="E216">
        <v>0</v>
      </c>
      <c r="F216">
        <v>0</v>
      </c>
      <c r="G216">
        <v>0</v>
      </c>
      <c r="H216">
        <v>0</v>
      </c>
      <c r="I216">
        <v>0</v>
      </c>
      <c r="J216">
        <v>0</v>
      </c>
      <c r="K216">
        <v>0</v>
      </c>
      <c r="M216" t="s">
        <v>954</v>
      </c>
      <c r="N216" s="25">
        <v>0.03</v>
      </c>
      <c r="O216" s="25">
        <v>0.04</v>
      </c>
    </row>
    <row r="217" spans="1:15">
      <c r="A217" t="s">
        <v>974</v>
      </c>
      <c r="B217">
        <v>8</v>
      </c>
      <c r="C217">
        <v>4</v>
      </c>
      <c r="D217">
        <v>0</v>
      </c>
      <c r="E217">
        <v>0</v>
      </c>
      <c r="F217">
        <v>0</v>
      </c>
      <c r="G217">
        <v>0</v>
      </c>
      <c r="H217">
        <v>0</v>
      </c>
      <c r="I217">
        <v>0</v>
      </c>
      <c r="J217">
        <v>0</v>
      </c>
      <c r="K217">
        <v>0</v>
      </c>
    </row>
    <row r="218" spans="1:15">
      <c r="A218" t="s">
        <v>974</v>
      </c>
      <c r="B218">
        <v>10</v>
      </c>
      <c r="C218">
        <v>90</v>
      </c>
      <c r="D218">
        <v>90</v>
      </c>
      <c r="E218">
        <v>90</v>
      </c>
      <c r="F218">
        <v>0</v>
      </c>
      <c r="G218">
        <v>10</v>
      </c>
      <c r="H218">
        <v>5</v>
      </c>
      <c r="I218">
        <v>25</v>
      </c>
      <c r="J218">
        <v>25</v>
      </c>
      <c r="K218">
        <v>0</v>
      </c>
    </row>
    <row r="219" spans="1:15">
      <c r="A219" t="s">
        <v>974</v>
      </c>
      <c r="B219">
        <v>10</v>
      </c>
      <c r="C219">
        <v>5</v>
      </c>
      <c r="D219">
        <v>0</v>
      </c>
      <c r="E219">
        <v>0</v>
      </c>
      <c r="F219">
        <v>0</v>
      </c>
      <c r="G219">
        <v>0</v>
      </c>
      <c r="H219">
        <v>0</v>
      </c>
      <c r="I219">
        <v>0</v>
      </c>
      <c r="J219">
        <v>0</v>
      </c>
      <c r="K219">
        <v>0</v>
      </c>
      <c r="M219" t="s">
        <v>1096</v>
      </c>
    </row>
    <row r="220" spans="1:15">
      <c r="A220" t="s">
        <v>974</v>
      </c>
      <c r="B220">
        <v>10</v>
      </c>
      <c r="C220">
        <v>5</v>
      </c>
      <c r="D220">
        <v>0</v>
      </c>
      <c r="E220">
        <v>0</v>
      </c>
      <c r="F220">
        <v>0</v>
      </c>
      <c r="G220">
        <v>0</v>
      </c>
      <c r="H220">
        <v>0</v>
      </c>
      <c r="I220">
        <v>0</v>
      </c>
      <c r="J220">
        <v>0</v>
      </c>
      <c r="K220">
        <v>0</v>
      </c>
      <c r="N220" t="s">
        <v>1119</v>
      </c>
      <c r="O220" t="s">
        <v>1120</v>
      </c>
    </row>
    <row r="221" spans="1:15">
      <c r="A221" t="s">
        <v>974</v>
      </c>
      <c r="B221">
        <v>15</v>
      </c>
      <c r="C221">
        <v>12</v>
      </c>
      <c r="D221">
        <v>2</v>
      </c>
      <c r="E221">
        <v>2</v>
      </c>
      <c r="F221">
        <v>2</v>
      </c>
      <c r="G221">
        <v>0</v>
      </c>
      <c r="H221">
        <v>0</v>
      </c>
      <c r="I221">
        <v>0</v>
      </c>
      <c r="J221">
        <v>0</v>
      </c>
      <c r="K221">
        <v>0</v>
      </c>
      <c r="M221" t="s">
        <v>1108</v>
      </c>
      <c r="N221" s="25">
        <v>0.43</v>
      </c>
      <c r="O221" s="25">
        <v>0.43</v>
      </c>
    </row>
    <row r="222" spans="1:15">
      <c r="A222" t="s">
        <v>974</v>
      </c>
      <c r="B222">
        <v>15</v>
      </c>
      <c r="C222">
        <v>15</v>
      </c>
      <c r="D222">
        <v>0</v>
      </c>
      <c r="E222">
        <v>0</v>
      </c>
      <c r="F222">
        <v>0</v>
      </c>
      <c r="G222">
        <v>0</v>
      </c>
      <c r="H222">
        <v>0</v>
      </c>
      <c r="I222">
        <v>0</v>
      </c>
      <c r="J222">
        <v>0</v>
      </c>
      <c r="K222">
        <v>0</v>
      </c>
      <c r="M222" t="s">
        <v>1109</v>
      </c>
      <c r="N222" s="25">
        <v>0.6</v>
      </c>
      <c r="O222" s="25">
        <v>0.73</v>
      </c>
    </row>
    <row r="223" spans="1:15">
      <c r="A223" t="s">
        <v>974</v>
      </c>
      <c r="B223">
        <v>20</v>
      </c>
      <c r="C223">
        <v>10</v>
      </c>
      <c r="D223">
        <v>10</v>
      </c>
      <c r="E223">
        <v>10</v>
      </c>
      <c r="F223">
        <v>0</v>
      </c>
      <c r="G223">
        <v>0</v>
      </c>
      <c r="H223">
        <v>0</v>
      </c>
      <c r="I223">
        <v>0</v>
      </c>
      <c r="J223">
        <v>0</v>
      </c>
      <c r="K223">
        <v>0</v>
      </c>
      <c r="M223" t="s">
        <v>1110</v>
      </c>
      <c r="N223" s="25">
        <v>0.02</v>
      </c>
      <c r="O223" s="25">
        <v>0.14000000000000001</v>
      </c>
    </row>
    <row r="224" spans="1:15">
      <c r="A224" t="s">
        <v>974</v>
      </c>
      <c r="B224">
        <v>40</v>
      </c>
      <c r="C224">
        <v>0</v>
      </c>
      <c r="D224">
        <v>0</v>
      </c>
      <c r="E224">
        <v>0</v>
      </c>
      <c r="F224">
        <v>0</v>
      </c>
      <c r="G224">
        <v>0</v>
      </c>
      <c r="H224">
        <v>0</v>
      </c>
      <c r="I224">
        <v>0</v>
      </c>
      <c r="J224">
        <v>0</v>
      </c>
      <c r="K224">
        <v>0</v>
      </c>
      <c r="M224" t="s">
        <v>1111</v>
      </c>
      <c r="N224" s="25">
        <v>0.09</v>
      </c>
      <c r="O224" s="25">
        <v>0.17</v>
      </c>
    </row>
    <row r="225" spans="1:15">
      <c r="A225" t="s">
        <v>974</v>
      </c>
      <c r="B225">
        <v>85</v>
      </c>
      <c r="C225">
        <v>3</v>
      </c>
      <c r="D225">
        <v>3</v>
      </c>
      <c r="E225">
        <v>0</v>
      </c>
      <c r="F225">
        <v>0</v>
      </c>
      <c r="G225">
        <v>0</v>
      </c>
      <c r="H225">
        <v>2</v>
      </c>
      <c r="I225">
        <v>0</v>
      </c>
      <c r="J225">
        <v>0</v>
      </c>
      <c r="K225">
        <v>0</v>
      </c>
      <c r="M225" t="s">
        <v>1112</v>
      </c>
      <c r="N225" s="25">
        <v>0.01</v>
      </c>
      <c r="O225" s="25">
        <v>0.03</v>
      </c>
    </row>
    <row r="226" spans="1:15">
      <c r="A226" t="s">
        <v>974</v>
      </c>
      <c r="B226">
        <v>100</v>
      </c>
      <c r="C226">
        <v>0</v>
      </c>
      <c r="D226">
        <v>100</v>
      </c>
      <c r="E226">
        <v>100</v>
      </c>
      <c r="F226">
        <v>0</v>
      </c>
      <c r="G226">
        <v>0</v>
      </c>
      <c r="H226">
        <v>0</v>
      </c>
      <c r="I226">
        <v>0</v>
      </c>
      <c r="J226">
        <v>0</v>
      </c>
      <c r="K226">
        <v>0</v>
      </c>
      <c r="M226" t="s">
        <v>1113</v>
      </c>
      <c r="N226" s="25">
        <v>0</v>
      </c>
      <c r="O226" s="25">
        <v>0.02</v>
      </c>
    </row>
    <row r="227" spans="1:15">
      <c r="A227" t="s">
        <v>974</v>
      </c>
      <c r="B227">
        <v>100</v>
      </c>
      <c r="C227">
        <v>20</v>
      </c>
      <c r="D227">
        <v>0</v>
      </c>
      <c r="E227">
        <v>0</v>
      </c>
      <c r="F227">
        <v>0</v>
      </c>
      <c r="G227">
        <v>0</v>
      </c>
      <c r="H227">
        <v>0</v>
      </c>
      <c r="I227">
        <v>0</v>
      </c>
      <c r="J227">
        <v>10</v>
      </c>
      <c r="K227">
        <v>0</v>
      </c>
      <c r="M227" t="s">
        <v>1114</v>
      </c>
      <c r="N227" s="25">
        <v>0</v>
      </c>
      <c r="O227" s="25">
        <v>0</v>
      </c>
    </row>
    <row r="228" spans="1:15">
      <c r="A228" t="s">
        <v>974</v>
      </c>
      <c r="B228">
        <v>100</v>
      </c>
      <c r="C228">
        <v>90</v>
      </c>
      <c r="D228">
        <v>90</v>
      </c>
      <c r="E228">
        <v>80</v>
      </c>
      <c r="F228">
        <v>0</v>
      </c>
      <c r="G228">
        <v>0</v>
      </c>
      <c r="H228">
        <v>0</v>
      </c>
      <c r="I228">
        <v>0</v>
      </c>
      <c r="J228">
        <v>20</v>
      </c>
      <c r="K228">
        <v>0</v>
      </c>
      <c r="M228" t="s">
        <v>1115</v>
      </c>
      <c r="N228" s="25">
        <v>0.09</v>
      </c>
      <c r="O228" s="25">
        <v>0.1</v>
      </c>
    </row>
    <row r="229" spans="1:15">
      <c r="A229" t="s">
        <v>974</v>
      </c>
      <c r="B229">
        <v>100</v>
      </c>
      <c r="C229">
        <v>100</v>
      </c>
      <c r="D229">
        <v>100</v>
      </c>
      <c r="E229">
        <v>0</v>
      </c>
      <c r="F229">
        <v>0</v>
      </c>
      <c r="G229">
        <v>0</v>
      </c>
      <c r="H229">
        <v>0</v>
      </c>
      <c r="I229">
        <v>0</v>
      </c>
      <c r="J229">
        <v>0</v>
      </c>
      <c r="K229">
        <v>0</v>
      </c>
      <c r="M229" t="s">
        <v>1116</v>
      </c>
      <c r="N229" s="25">
        <v>0.09</v>
      </c>
      <c r="O229" s="25">
        <v>0.09</v>
      </c>
    </row>
    <row r="230" spans="1:15">
      <c r="A230" t="s">
        <v>974</v>
      </c>
      <c r="B230">
        <v>100</v>
      </c>
      <c r="C230">
        <v>80</v>
      </c>
      <c r="D230">
        <v>80</v>
      </c>
      <c r="E230">
        <v>80</v>
      </c>
      <c r="F230">
        <v>0</v>
      </c>
      <c r="G230">
        <v>0</v>
      </c>
      <c r="H230">
        <v>0</v>
      </c>
      <c r="I230">
        <v>0</v>
      </c>
      <c r="J230">
        <v>0</v>
      </c>
      <c r="K230">
        <v>80</v>
      </c>
      <c r="M230" t="s">
        <v>954</v>
      </c>
      <c r="N230" s="25">
        <v>0.14000000000000001</v>
      </c>
      <c r="O230" s="25">
        <v>0.14000000000000001</v>
      </c>
    </row>
    <row r="231" spans="1:15">
      <c r="A231" t="s">
        <v>974</v>
      </c>
      <c r="B231">
        <v>100</v>
      </c>
      <c r="C231">
        <v>10</v>
      </c>
      <c r="D231">
        <v>0</v>
      </c>
      <c r="E231">
        <v>0</v>
      </c>
      <c r="F231">
        <v>0</v>
      </c>
      <c r="G231">
        <v>0</v>
      </c>
      <c r="H231">
        <v>0</v>
      </c>
      <c r="I231">
        <v>0</v>
      </c>
      <c r="J231">
        <v>0</v>
      </c>
      <c r="K231">
        <v>0</v>
      </c>
    </row>
    <row r="232" spans="1:15">
      <c r="B232" s="39">
        <f>(SUM(B206:B231)/26)</f>
        <v>31.807692307692307</v>
      </c>
      <c r="C232" s="39">
        <f t="shared" ref="C232:K232" si="2">(SUM(C206:C231)/26)</f>
        <v>29.53846153846154</v>
      </c>
      <c r="D232" s="39">
        <f t="shared" si="2"/>
        <v>18.46153846153846</v>
      </c>
      <c r="E232" s="39">
        <f t="shared" si="2"/>
        <v>13.923076923076923</v>
      </c>
      <c r="F232" s="39">
        <f t="shared" si="2"/>
        <v>0.34615384615384615</v>
      </c>
      <c r="G232" s="39">
        <f t="shared" si="2"/>
        <v>0.38461538461538464</v>
      </c>
      <c r="H232" s="39">
        <f t="shared" si="2"/>
        <v>0.26923076923076922</v>
      </c>
      <c r="I232" s="39">
        <f t="shared" si="2"/>
        <v>0.96153846153846156</v>
      </c>
      <c r="J232" s="39">
        <f t="shared" si="2"/>
        <v>5.9615384615384617</v>
      </c>
      <c r="K232" s="39">
        <f t="shared" si="2"/>
        <v>3.1153846153846154</v>
      </c>
    </row>
    <row r="233" spans="1:15">
      <c r="M233" t="s">
        <v>1244</v>
      </c>
    </row>
    <row r="234" spans="1:15">
      <c r="N234" t="s">
        <v>1119</v>
      </c>
      <c r="O234" t="s">
        <v>1120</v>
      </c>
    </row>
    <row r="235" spans="1:15">
      <c r="A235" t="s">
        <v>973</v>
      </c>
      <c r="B235">
        <v>0</v>
      </c>
      <c r="C235">
        <v>5</v>
      </c>
      <c r="D235">
        <v>1</v>
      </c>
      <c r="E235">
        <v>1</v>
      </c>
      <c r="F235">
        <v>5</v>
      </c>
      <c r="G235">
        <v>0</v>
      </c>
      <c r="H235">
        <v>0</v>
      </c>
      <c r="I235">
        <v>0</v>
      </c>
      <c r="J235">
        <v>0</v>
      </c>
      <c r="K235">
        <v>0</v>
      </c>
      <c r="M235" t="s">
        <v>1108</v>
      </c>
      <c r="N235" s="25">
        <v>0.53</v>
      </c>
      <c r="O235" s="25">
        <v>0.52</v>
      </c>
    </row>
    <row r="236" spans="1:15">
      <c r="A236" t="s">
        <v>973</v>
      </c>
      <c r="B236">
        <v>0</v>
      </c>
      <c r="C236">
        <v>100</v>
      </c>
      <c r="D236">
        <v>5</v>
      </c>
      <c r="E236">
        <v>2</v>
      </c>
      <c r="F236">
        <v>2</v>
      </c>
      <c r="G236">
        <v>0</v>
      </c>
      <c r="H236">
        <v>0</v>
      </c>
      <c r="I236">
        <v>0</v>
      </c>
      <c r="J236">
        <v>0</v>
      </c>
      <c r="K236">
        <v>100</v>
      </c>
      <c r="M236" t="s">
        <v>1109</v>
      </c>
      <c r="N236" s="25">
        <v>0.34</v>
      </c>
      <c r="O236" s="25">
        <v>0.42</v>
      </c>
    </row>
    <row r="237" spans="1:15">
      <c r="A237" t="s">
        <v>973</v>
      </c>
      <c r="B237">
        <v>0</v>
      </c>
      <c r="C237">
        <v>30</v>
      </c>
      <c r="D237">
        <v>0</v>
      </c>
      <c r="E237">
        <v>0</v>
      </c>
      <c r="F237">
        <v>0</v>
      </c>
      <c r="G237">
        <v>0</v>
      </c>
      <c r="H237">
        <v>0</v>
      </c>
      <c r="I237">
        <v>0</v>
      </c>
      <c r="J237">
        <v>0</v>
      </c>
      <c r="K237">
        <v>0</v>
      </c>
      <c r="M237" t="s">
        <v>1110</v>
      </c>
      <c r="N237" s="25">
        <v>0.13</v>
      </c>
      <c r="O237" s="25">
        <v>0.21</v>
      </c>
    </row>
    <row r="238" spans="1:15">
      <c r="A238" t="s">
        <v>973</v>
      </c>
      <c r="B238">
        <v>0</v>
      </c>
      <c r="C238">
        <v>60</v>
      </c>
      <c r="D238">
        <v>0</v>
      </c>
      <c r="E238">
        <v>0</v>
      </c>
      <c r="F238">
        <v>0</v>
      </c>
      <c r="G238">
        <v>0</v>
      </c>
      <c r="H238">
        <v>0</v>
      </c>
      <c r="I238">
        <v>0</v>
      </c>
      <c r="J238">
        <v>0</v>
      </c>
      <c r="K238">
        <v>0</v>
      </c>
      <c r="M238" t="s">
        <v>1111</v>
      </c>
      <c r="N238" s="25">
        <v>0.08</v>
      </c>
      <c r="O238" s="25">
        <v>0.18</v>
      </c>
    </row>
    <row r="239" spans="1:15">
      <c r="A239" t="s">
        <v>973</v>
      </c>
      <c r="B239">
        <v>100</v>
      </c>
      <c r="C239">
        <v>90</v>
      </c>
      <c r="D239">
        <v>5</v>
      </c>
      <c r="E239">
        <v>5</v>
      </c>
      <c r="F239">
        <v>0</v>
      </c>
      <c r="G239">
        <v>0</v>
      </c>
      <c r="H239">
        <v>0</v>
      </c>
      <c r="I239">
        <v>5</v>
      </c>
      <c r="J239">
        <v>0</v>
      </c>
      <c r="K239">
        <v>0</v>
      </c>
      <c r="M239" t="s">
        <v>1112</v>
      </c>
      <c r="N239" s="25">
        <v>0.05</v>
      </c>
      <c r="O239" s="25">
        <v>0.09</v>
      </c>
    </row>
    <row r="240" spans="1:15">
      <c r="A240" t="s">
        <v>973</v>
      </c>
      <c r="B240">
        <v>100</v>
      </c>
      <c r="C240">
        <v>75</v>
      </c>
      <c r="D240">
        <v>0</v>
      </c>
      <c r="E240">
        <v>50</v>
      </c>
      <c r="F240">
        <v>0</v>
      </c>
      <c r="G240">
        <v>0</v>
      </c>
      <c r="H240">
        <v>0</v>
      </c>
      <c r="I240">
        <v>0</v>
      </c>
      <c r="J240">
        <v>0</v>
      </c>
      <c r="K240">
        <v>0</v>
      </c>
      <c r="M240" t="s">
        <v>1113</v>
      </c>
      <c r="N240" s="25">
        <v>0.01</v>
      </c>
      <c r="O240" s="25">
        <v>0.06</v>
      </c>
    </row>
    <row r="241" spans="1:15">
      <c r="A241" t="s">
        <v>973</v>
      </c>
      <c r="B241">
        <v>100</v>
      </c>
      <c r="C241">
        <v>60</v>
      </c>
      <c r="D241">
        <v>0</v>
      </c>
      <c r="E241">
        <v>2</v>
      </c>
      <c r="F241">
        <v>0</v>
      </c>
      <c r="G241">
        <v>1</v>
      </c>
      <c r="H241">
        <v>1</v>
      </c>
      <c r="I241">
        <v>60</v>
      </c>
      <c r="J241">
        <v>60</v>
      </c>
      <c r="K241">
        <v>0</v>
      </c>
      <c r="M241" t="s">
        <v>1114</v>
      </c>
      <c r="N241" s="25">
        <v>0.05</v>
      </c>
      <c r="O241" s="25">
        <v>0.09</v>
      </c>
    </row>
    <row r="242" spans="1:15">
      <c r="B242" s="39">
        <f>(SUM(B235:B241)/7)</f>
        <v>42.857142857142854</v>
      </c>
      <c r="C242" s="39">
        <f t="shared" ref="C242:K242" si="3">(SUM(C235:C241)/7)</f>
        <v>60</v>
      </c>
      <c r="D242" s="39">
        <f t="shared" si="3"/>
        <v>1.5714285714285714</v>
      </c>
      <c r="E242" s="39">
        <f t="shared" si="3"/>
        <v>8.5714285714285712</v>
      </c>
      <c r="F242" s="39">
        <f t="shared" si="3"/>
        <v>1</v>
      </c>
      <c r="G242" s="39">
        <f t="shared" si="3"/>
        <v>0.14285714285714285</v>
      </c>
      <c r="H242" s="39">
        <f t="shared" si="3"/>
        <v>0.14285714285714285</v>
      </c>
      <c r="I242" s="39">
        <f t="shared" si="3"/>
        <v>9.2857142857142865</v>
      </c>
      <c r="J242" s="39">
        <f t="shared" si="3"/>
        <v>8.5714285714285712</v>
      </c>
      <c r="K242" s="39">
        <f t="shared" si="3"/>
        <v>14.285714285714286</v>
      </c>
      <c r="M242" t="s">
        <v>1115</v>
      </c>
      <c r="N242" s="25">
        <v>0.08</v>
      </c>
      <c r="O242" s="25">
        <v>0.13</v>
      </c>
    </row>
    <row r="243" spans="1:15">
      <c r="M243" t="s">
        <v>1116</v>
      </c>
      <c r="N243" s="25">
        <v>0.05</v>
      </c>
      <c r="O243" s="25">
        <v>0.05</v>
      </c>
    </row>
    <row r="244" spans="1:15">
      <c r="M244" t="s">
        <v>954</v>
      </c>
      <c r="N244" s="25">
        <v>0.03</v>
      </c>
      <c r="O244" s="25">
        <v>0.03</v>
      </c>
    </row>
    <row r="245" spans="1:15">
      <c r="A245" t="s">
        <v>972</v>
      </c>
      <c r="B245">
        <v>0</v>
      </c>
      <c r="C245">
        <v>0</v>
      </c>
      <c r="D245">
        <v>0</v>
      </c>
      <c r="E245">
        <v>0</v>
      </c>
      <c r="F245">
        <v>0</v>
      </c>
      <c r="G245">
        <v>0</v>
      </c>
      <c r="H245">
        <v>0</v>
      </c>
      <c r="I245">
        <v>0</v>
      </c>
      <c r="J245">
        <v>0</v>
      </c>
      <c r="K245">
        <v>0</v>
      </c>
    </row>
    <row r="246" spans="1:15">
      <c r="A246" t="s">
        <v>972</v>
      </c>
      <c r="B246">
        <v>0</v>
      </c>
      <c r="C246">
        <v>0</v>
      </c>
      <c r="D246">
        <v>0</v>
      </c>
      <c r="E246">
        <v>0</v>
      </c>
      <c r="F246">
        <v>0</v>
      </c>
      <c r="G246">
        <v>0</v>
      </c>
      <c r="H246">
        <v>0</v>
      </c>
      <c r="I246">
        <v>0</v>
      </c>
      <c r="J246">
        <v>0</v>
      </c>
      <c r="K246">
        <v>80</v>
      </c>
    </row>
    <row r="247" spans="1:15">
      <c r="A247" t="s">
        <v>972</v>
      </c>
      <c r="B247">
        <v>0</v>
      </c>
      <c r="C247">
        <v>0</v>
      </c>
      <c r="D247">
        <v>0</v>
      </c>
      <c r="E247">
        <v>0</v>
      </c>
      <c r="F247">
        <v>0</v>
      </c>
      <c r="G247">
        <v>0</v>
      </c>
      <c r="H247">
        <v>0</v>
      </c>
      <c r="I247">
        <v>0</v>
      </c>
      <c r="J247">
        <v>0</v>
      </c>
      <c r="K247">
        <v>0</v>
      </c>
      <c r="M247" t="s">
        <v>1245</v>
      </c>
    </row>
    <row r="248" spans="1:15">
      <c r="A248" t="s">
        <v>972</v>
      </c>
      <c r="B248">
        <v>0</v>
      </c>
      <c r="C248">
        <v>0</v>
      </c>
      <c r="D248">
        <v>0</v>
      </c>
      <c r="E248">
        <v>0</v>
      </c>
      <c r="F248">
        <v>0</v>
      </c>
      <c r="G248">
        <v>0</v>
      </c>
      <c r="H248">
        <v>0</v>
      </c>
      <c r="I248">
        <v>0</v>
      </c>
      <c r="J248">
        <v>0</v>
      </c>
      <c r="K248">
        <v>0</v>
      </c>
      <c r="N248" t="s">
        <v>1119</v>
      </c>
      <c r="O248" t="s">
        <v>1120</v>
      </c>
    </row>
    <row r="249" spans="1:15">
      <c r="A249" t="s">
        <v>972</v>
      </c>
      <c r="B249">
        <v>0</v>
      </c>
      <c r="C249">
        <v>50</v>
      </c>
      <c r="D249">
        <v>0</v>
      </c>
      <c r="E249">
        <v>0</v>
      </c>
      <c r="F249">
        <v>0</v>
      </c>
      <c r="G249">
        <v>0</v>
      </c>
      <c r="H249">
        <v>0</v>
      </c>
      <c r="I249">
        <v>0</v>
      </c>
      <c r="J249">
        <v>0</v>
      </c>
      <c r="K249">
        <v>0</v>
      </c>
      <c r="M249" t="s">
        <v>1108</v>
      </c>
      <c r="N249" s="25">
        <v>0.47</v>
      </c>
      <c r="O249" s="25">
        <v>0.52</v>
      </c>
    </row>
    <row r="250" spans="1:15">
      <c r="A250" t="s">
        <v>972</v>
      </c>
      <c r="B250">
        <v>0</v>
      </c>
      <c r="C250">
        <v>5</v>
      </c>
      <c r="D250">
        <v>0</v>
      </c>
      <c r="E250">
        <v>0</v>
      </c>
      <c r="F250">
        <v>0</v>
      </c>
      <c r="G250">
        <v>0</v>
      </c>
      <c r="H250">
        <v>0</v>
      </c>
      <c r="I250">
        <v>0</v>
      </c>
      <c r="J250">
        <v>0</v>
      </c>
      <c r="K250">
        <v>0</v>
      </c>
      <c r="M250" t="s">
        <v>1109</v>
      </c>
      <c r="N250" s="25">
        <v>0.28999999999999998</v>
      </c>
      <c r="O250" s="25">
        <v>0.41</v>
      </c>
    </row>
    <row r="251" spans="1:15">
      <c r="A251" t="s">
        <v>972</v>
      </c>
      <c r="B251">
        <v>0</v>
      </c>
      <c r="C251">
        <v>70</v>
      </c>
      <c r="D251">
        <v>0</v>
      </c>
      <c r="E251">
        <v>0</v>
      </c>
      <c r="F251">
        <v>0</v>
      </c>
      <c r="G251">
        <v>0</v>
      </c>
      <c r="H251">
        <v>30</v>
      </c>
      <c r="I251">
        <v>0</v>
      </c>
      <c r="J251">
        <v>0</v>
      </c>
      <c r="K251">
        <v>0</v>
      </c>
      <c r="M251" t="s">
        <v>1110</v>
      </c>
      <c r="N251" s="25">
        <v>0.24</v>
      </c>
      <c r="O251" s="25">
        <v>0.26</v>
      </c>
    </row>
    <row r="252" spans="1:15">
      <c r="A252" t="s">
        <v>972</v>
      </c>
      <c r="B252">
        <v>0</v>
      </c>
      <c r="C252">
        <v>0</v>
      </c>
      <c r="D252">
        <v>25</v>
      </c>
      <c r="E252">
        <v>0</v>
      </c>
      <c r="F252">
        <v>0</v>
      </c>
      <c r="G252">
        <v>0</v>
      </c>
      <c r="H252">
        <v>0</v>
      </c>
      <c r="I252">
        <v>0</v>
      </c>
      <c r="J252">
        <v>0</v>
      </c>
      <c r="K252">
        <v>0</v>
      </c>
      <c r="M252" t="s">
        <v>1111</v>
      </c>
      <c r="N252" s="25">
        <v>0.04</v>
      </c>
      <c r="O252" s="25">
        <v>0.06</v>
      </c>
    </row>
    <row r="253" spans="1:15">
      <c r="A253" t="s">
        <v>972</v>
      </c>
      <c r="B253">
        <v>0</v>
      </c>
      <c r="C253">
        <v>0</v>
      </c>
      <c r="D253">
        <v>0</v>
      </c>
      <c r="E253">
        <v>0</v>
      </c>
      <c r="F253">
        <v>0</v>
      </c>
      <c r="G253">
        <v>0</v>
      </c>
      <c r="H253">
        <v>0</v>
      </c>
      <c r="I253">
        <v>0</v>
      </c>
      <c r="J253">
        <v>0</v>
      </c>
      <c r="K253">
        <v>0</v>
      </c>
      <c r="M253" t="s">
        <v>1112</v>
      </c>
      <c r="N253" s="25">
        <v>0</v>
      </c>
      <c r="O253" s="25">
        <v>0</v>
      </c>
    </row>
    <row r="254" spans="1:15">
      <c r="A254" t="s">
        <v>972</v>
      </c>
      <c r="B254">
        <v>2</v>
      </c>
      <c r="C254">
        <v>2</v>
      </c>
      <c r="D254">
        <v>0</v>
      </c>
      <c r="E254">
        <v>0</v>
      </c>
      <c r="F254">
        <v>0</v>
      </c>
      <c r="G254">
        <v>1</v>
      </c>
      <c r="H254">
        <v>1</v>
      </c>
      <c r="I254">
        <v>0</v>
      </c>
      <c r="J254">
        <v>0</v>
      </c>
      <c r="K254">
        <v>0</v>
      </c>
      <c r="M254" t="s">
        <v>1113</v>
      </c>
      <c r="N254" s="25">
        <v>0.01</v>
      </c>
      <c r="O254" s="25">
        <v>0.02</v>
      </c>
    </row>
    <row r="255" spans="1:15">
      <c r="A255" t="s">
        <v>972</v>
      </c>
      <c r="B255">
        <v>3</v>
      </c>
      <c r="C255">
        <v>8</v>
      </c>
      <c r="D255">
        <v>0</v>
      </c>
      <c r="E255">
        <v>0</v>
      </c>
      <c r="F255">
        <v>0</v>
      </c>
      <c r="G255">
        <v>0</v>
      </c>
      <c r="H255">
        <v>0</v>
      </c>
      <c r="I255">
        <v>0</v>
      </c>
      <c r="J255">
        <v>0</v>
      </c>
      <c r="K255">
        <v>0</v>
      </c>
      <c r="M255" t="s">
        <v>1114</v>
      </c>
      <c r="N255" s="25">
        <v>0.01</v>
      </c>
      <c r="O255" s="25">
        <v>0.02</v>
      </c>
    </row>
    <row r="256" spans="1:15">
      <c r="A256" t="s">
        <v>972</v>
      </c>
      <c r="B256">
        <v>5</v>
      </c>
      <c r="C256">
        <v>0</v>
      </c>
      <c r="D256">
        <v>15</v>
      </c>
      <c r="E256">
        <v>15</v>
      </c>
      <c r="F256">
        <v>15</v>
      </c>
      <c r="G256">
        <v>5</v>
      </c>
      <c r="H256">
        <v>0</v>
      </c>
      <c r="I256">
        <v>0</v>
      </c>
      <c r="J256">
        <v>15</v>
      </c>
      <c r="K256">
        <v>0</v>
      </c>
      <c r="M256" t="s">
        <v>1115</v>
      </c>
      <c r="N256" s="25">
        <v>0.37</v>
      </c>
      <c r="O256" s="25">
        <v>0.4</v>
      </c>
    </row>
    <row r="257" spans="1:15">
      <c r="A257" t="s">
        <v>972</v>
      </c>
      <c r="B257">
        <v>5</v>
      </c>
      <c r="C257">
        <v>98</v>
      </c>
      <c r="D257">
        <v>98</v>
      </c>
      <c r="E257">
        <v>10</v>
      </c>
      <c r="F257">
        <v>0</v>
      </c>
      <c r="G257">
        <v>0</v>
      </c>
      <c r="H257">
        <v>0</v>
      </c>
      <c r="I257">
        <v>98</v>
      </c>
      <c r="J257">
        <v>0</v>
      </c>
      <c r="K257">
        <v>0</v>
      </c>
      <c r="M257" t="s">
        <v>1116</v>
      </c>
      <c r="N257" s="25">
        <v>0.01</v>
      </c>
      <c r="O257" s="25">
        <v>0.03</v>
      </c>
    </row>
    <row r="258" spans="1:15">
      <c r="A258" t="s">
        <v>972</v>
      </c>
      <c r="B258">
        <v>5</v>
      </c>
      <c r="C258">
        <v>95</v>
      </c>
      <c r="D258">
        <v>0</v>
      </c>
      <c r="E258">
        <v>0</v>
      </c>
      <c r="F258">
        <v>0</v>
      </c>
      <c r="G258">
        <v>0</v>
      </c>
      <c r="H258">
        <v>5</v>
      </c>
      <c r="I258">
        <v>0</v>
      </c>
      <c r="J258">
        <v>0</v>
      </c>
      <c r="K258">
        <v>0</v>
      </c>
      <c r="M258" t="s">
        <v>954</v>
      </c>
      <c r="N258" s="25">
        <v>0</v>
      </c>
      <c r="O258" s="25">
        <v>0</v>
      </c>
    </row>
    <row r="259" spans="1:15">
      <c r="A259" t="s">
        <v>972</v>
      </c>
      <c r="B259">
        <v>10</v>
      </c>
      <c r="C259">
        <v>2</v>
      </c>
      <c r="D259">
        <v>0</v>
      </c>
      <c r="E259">
        <v>0</v>
      </c>
      <c r="F259">
        <v>1</v>
      </c>
      <c r="G259">
        <v>0</v>
      </c>
      <c r="H259">
        <v>0</v>
      </c>
      <c r="I259">
        <v>0</v>
      </c>
      <c r="J259">
        <v>0</v>
      </c>
      <c r="K259">
        <v>0</v>
      </c>
    </row>
    <row r="260" spans="1:15">
      <c r="A260" t="s">
        <v>972</v>
      </c>
      <c r="B260">
        <v>20</v>
      </c>
      <c r="C260">
        <v>0</v>
      </c>
      <c r="D260">
        <v>0</v>
      </c>
      <c r="E260">
        <v>0</v>
      </c>
      <c r="F260">
        <v>0</v>
      </c>
      <c r="G260">
        <v>0</v>
      </c>
      <c r="H260">
        <v>0</v>
      </c>
      <c r="I260">
        <v>0</v>
      </c>
      <c r="J260">
        <v>0</v>
      </c>
      <c r="K260">
        <v>0</v>
      </c>
    </row>
    <row r="261" spans="1:15">
      <c r="A261" t="s">
        <v>972</v>
      </c>
      <c r="B261">
        <v>20</v>
      </c>
      <c r="C261">
        <v>20</v>
      </c>
      <c r="D261">
        <v>20</v>
      </c>
      <c r="E261">
        <v>0</v>
      </c>
      <c r="F261">
        <v>0</v>
      </c>
      <c r="G261">
        <v>0</v>
      </c>
      <c r="H261">
        <v>10</v>
      </c>
      <c r="I261">
        <v>0</v>
      </c>
      <c r="J261">
        <v>0</v>
      </c>
      <c r="K261">
        <v>0</v>
      </c>
    </row>
    <row r="262" spans="1:15">
      <c r="A262" t="s">
        <v>972</v>
      </c>
      <c r="B262">
        <v>22</v>
      </c>
      <c r="C262">
        <v>78</v>
      </c>
      <c r="D262">
        <v>0</v>
      </c>
      <c r="E262">
        <v>1</v>
      </c>
      <c r="F262">
        <v>1</v>
      </c>
      <c r="G262">
        <v>0</v>
      </c>
      <c r="H262">
        <v>1</v>
      </c>
      <c r="I262">
        <v>0</v>
      </c>
      <c r="J262">
        <v>0</v>
      </c>
      <c r="K262">
        <v>0</v>
      </c>
    </row>
    <row r="263" spans="1:15">
      <c r="A263" t="s">
        <v>972</v>
      </c>
      <c r="B263">
        <v>25</v>
      </c>
      <c r="C263">
        <v>15</v>
      </c>
      <c r="D263">
        <v>0</v>
      </c>
      <c r="E263">
        <v>0</v>
      </c>
      <c r="F263">
        <v>0</v>
      </c>
      <c r="G263">
        <v>0</v>
      </c>
      <c r="H263">
        <v>0</v>
      </c>
      <c r="I263">
        <v>0</v>
      </c>
      <c r="J263">
        <v>0</v>
      </c>
      <c r="K263">
        <v>0</v>
      </c>
    </row>
    <row r="264" spans="1:15">
      <c r="A264" t="s">
        <v>972</v>
      </c>
      <c r="B264">
        <v>35</v>
      </c>
      <c r="C264">
        <v>2</v>
      </c>
      <c r="D264">
        <v>5</v>
      </c>
      <c r="E264">
        <v>0</v>
      </c>
      <c r="F264">
        <v>0</v>
      </c>
      <c r="G264">
        <v>1</v>
      </c>
      <c r="H264">
        <v>5</v>
      </c>
      <c r="I264">
        <v>0</v>
      </c>
      <c r="J264">
        <v>0</v>
      </c>
      <c r="K264">
        <v>0</v>
      </c>
    </row>
    <row r="265" spans="1:15">
      <c r="A265" t="s">
        <v>972</v>
      </c>
      <c r="B265">
        <v>39</v>
      </c>
      <c r="C265">
        <v>39</v>
      </c>
      <c r="D265">
        <v>5</v>
      </c>
      <c r="E265">
        <v>0</v>
      </c>
      <c r="F265">
        <v>0</v>
      </c>
      <c r="G265">
        <v>0</v>
      </c>
      <c r="H265">
        <v>3</v>
      </c>
      <c r="I265">
        <v>0</v>
      </c>
      <c r="J265">
        <v>0</v>
      </c>
      <c r="K265">
        <v>0</v>
      </c>
    </row>
    <row r="266" spans="1:15">
      <c r="A266" t="s">
        <v>972</v>
      </c>
      <c r="B266">
        <v>40</v>
      </c>
      <c r="C266">
        <v>8</v>
      </c>
      <c r="D266">
        <v>0</v>
      </c>
      <c r="E266">
        <v>0</v>
      </c>
      <c r="F266">
        <v>0</v>
      </c>
      <c r="G266">
        <v>0</v>
      </c>
      <c r="H266">
        <v>0</v>
      </c>
      <c r="I266">
        <v>0</v>
      </c>
      <c r="J266">
        <v>0</v>
      </c>
      <c r="K266">
        <v>0</v>
      </c>
    </row>
    <row r="267" spans="1:15">
      <c r="A267" t="s">
        <v>972</v>
      </c>
      <c r="B267">
        <v>40</v>
      </c>
      <c r="C267">
        <v>5</v>
      </c>
      <c r="D267">
        <v>5</v>
      </c>
      <c r="E267">
        <v>5</v>
      </c>
      <c r="F267">
        <v>0</v>
      </c>
      <c r="G267">
        <v>0</v>
      </c>
      <c r="H267">
        <v>2</v>
      </c>
      <c r="I267">
        <v>0</v>
      </c>
      <c r="J267">
        <v>0</v>
      </c>
      <c r="K267">
        <v>0</v>
      </c>
    </row>
    <row r="268" spans="1:15">
      <c r="A268" t="s">
        <v>972</v>
      </c>
      <c r="B268">
        <v>40</v>
      </c>
      <c r="C268">
        <v>5</v>
      </c>
      <c r="D268">
        <v>0</v>
      </c>
      <c r="E268">
        <v>0</v>
      </c>
      <c r="F268">
        <v>0</v>
      </c>
      <c r="G268">
        <v>0</v>
      </c>
      <c r="H268">
        <v>1</v>
      </c>
      <c r="I268">
        <v>0</v>
      </c>
      <c r="J268">
        <v>0</v>
      </c>
      <c r="K268">
        <v>0</v>
      </c>
    </row>
    <row r="269" spans="1:15">
      <c r="A269" t="s">
        <v>972</v>
      </c>
      <c r="B269">
        <v>40</v>
      </c>
      <c r="C269">
        <v>0</v>
      </c>
      <c r="D269">
        <v>0</v>
      </c>
      <c r="E269">
        <v>0</v>
      </c>
      <c r="F269">
        <v>0</v>
      </c>
      <c r="G269">
        <v>0</v>
      </c>
      <c r="H269">
        <v>0</v>
      </c>
      <c r="I269">
        <v>0</v>
      </c>
      <c r="J269">
        <v>0</v>
      </c>
      <c r="K269">
        <v>0</v>
      </c>
    </row>
    <row r="270" spans="1:15">
      <c r="A270" t="s">
        <v>972</v>
      </c>
      <c r="B270">
        <v>55</v>
      </c>
      <c r="C270">
        <v>0</v>
      </c>
      <c r="D270">
        <v>0</v>
      </c>
      <c r="E270">
        <v>0</v>
      </c>
      <c r="F270">
        <v>55</v>
      </c>
      <c r="G270">
        <v>0</v>
      </c>
      <c r="H270">
        <v>35</v>
      </c>
      <c r="I270">
        <v>0</v>
      </c>
      <c r="J270">
        <v>15</v>
      </c>
      <c r="K270">
        <v>0</v>
      </c>
    </row>
    <row r="271" spans="1:15">
      <c r="A271" t="s">
        <v>972</v>
      </c>
      <c r="B271">
        <v>60</v>
      </c>
      <c r="C271">
        <v>0</v>
      </c>
      <c r="D271">
        <v>0</v>
      </c>
      <c r="E271">
        <v>0</v>
      </c>
      <c r="F271">
        <v>0</v>
      </c>
      <c r="G271">
        <v>0</v>
      </c>
      <c r="H271">
        <v>0</v>
      </c>
      <c r="I271">
        <v>0</v>
      </c>
      <c r="J271">
        <v>0</v>
      </c>
      <c r="K271">
        <v>60</v>
      </c>
    </row>
    <row r="272" spans="1:15">
      <c r="A272" t="s">
        <v>972</v>
      </c>
      <c r="B272">
        <v>65</v>
      </c>
      <c r="C272">
        <v>65</v>
      </c>
      <c r="D272">
        <v>0</v>
      </c>
      <c r="E272">
        <v>0</v>
      </c>
      <c r="F272">
        <v>0</v>
      </c>
      <c r="G272">
        <v>0</v>
      </c>
      <c r="H272">
        <v>0</v>
      </c>
      <c r="I272">
        <v>0</v>
      </c>
      <c r="J272">
        <v>0</v>
      </c>
      <c r="K272">
        <v>0</v>
      </c>
    </row>
    <row r="273" spans="1:11">
      <c r="A273" t="s">
        <v>972</v>
      </c>
      <c r="B273">
        <v>75</v>
      </c>
      <c r="C273">
        <v>70</v>
      </c>
      <c r="D273">
        <v>0</v>
      </c>
      <c r="E273">
        <v>0</v>
      </c>
      <c r="F273">
        <v>0</v>
      </c>
      <c r="G273">
        <v>0</v>
      </c>
      <c r="H273">
        <v>0</v>
      </c>
      <c r="I273">
        <v>0</v>
      </c>
      <c r="J273">
        <v>0</v>
      </c>
      <c r="K273">
        <v>0</v>
      </c>
    </row>
    <row r="274" spans="1:11">
      <c r="A274" t="s">
        <v>972</v>
      </c>
      <c r="B274">
        <v>75</v>
      </c>
      <c r="C274">
        <v>50</v>
      </c>
      <c r="D274">
        <v>50</v>
      </c>
      <c r="E274">
        <v>50</v>
      </c>
      <c r="F274">
        <v>0</v>
      </c>
      <c r="G274">
        <v>0</v>
      </c>
      <c r="H274">
        <v>0</v>
      </c>
      <c r="I274">
        <v>0</v>
      </c>
      <c r="J274">
        <v>0</v>
      </c>
      <c r="K274">
        <v>0</v>
      </c>
    </row>
    <row r="275" spans="1:11">
      <c r="A275" t="s">
        <v>972</v>
      </c>
      <c r="B275">
        <v>80</v>
      </c>
      <c r="C275">
        <v>10</v>
      </c>
      <c r="D275">
        <v>0</v>
      </c>
      <c r="E275">
        <v>0</v>
      </c>
      <c r="F275">
        <v>10</v>
      </c>
      <c r="G275">
        <v>0</v>
      </c>
      <c r="H275">
        <v>0</v>
      </c>
      <c r="I275">
        <v>0</v>
      </c>
      <c r="J275">
        <v>0</v>
      </c>
      <c r="K275">
        <v>0</v>
      </c>
    </row>
    <row r="276" spans="1:11">
      <c r="A276" t="s">
        <v>972</v>
      </c>
      <c r="B276">
        <v>80</v>
      </c>
      <c r="C276">
        <v>0</v>
      </c>
      <c r="D276">
        <v>0</v>
      </c>
      <c r="E276">
        <v>0</v>
      </c>
      <c r="F276">
        <v>50</v>
      </c>
      <c r="G276">
        <v>0</v>
      </c>
      <c r="H276">
        <v>0</v>
      </c>
      <c r="I276">
        <v>0</v>
      </c>
      <c r="J276">
        <v>0</v>
      </c>
      <c r="K276">
        <v>0</v>
      </c>
    </row>
    <row r="277" spans="1:11">
      <c r="A277" t="s">
        <v>972</v>
      </c>
      <c r="B277">
        <v>80</v>
      </c>
      <c r="C277">
        <v>80</v>
      </c>
      <c r="D277">
        <v>5</v>
      </c>
      <c r="E277">
        <v>0</v>
      </c>
      <c r="F277">
        <v>80</v>
      </c>
      <c r="G277">
        <v>1</v>
      </c>
      <c r="H277">
        <v>5</v>
      </c>
      <c r="I277">
        <v>0</v>
      </c>
      <c r="J277">
        <v>0</v>
      </c>
      <c r="K277">
        <v>0</v>
      </c>
    </row>
    <row r="278" spans="1:11">
      <c r="A278" t="s">
        <v>972</v>
      </c>
      <c r="B278">
        <v>85</v>
      </c>
      <c r="C278">
        <v>0</v>
      </c>
      <c r="D278">
        <v>40</v>
      </c>
      <c r="E278">
        <v>40</v>
      </c>
      <c r="F278">
        <v>0</v>
      </c>
      <c r="G278">
        <v>5</v>
      </c>
      <c r="H278">
        <v>1</v>
      </c>
      <c r="I278">
        <v>40</v>
      </c>
      <c r="J278">
        <v>20</v>
      </c>
      <c r="K278">
        <v>0</v>
      </c>
    </row>
    <row r="279" spans="1:11">
      <c r="A279" t="s">
        <v>972</v>
      </c>
      <c r="B279">
        <v>90</v>
      </c>
      <c r="C279">
        <v>72</v>
      </c>
      <c r="D279">
        <v>5</v>
      </c>
      <c r="E279">
        <v>0</v>
      </c>
      <c r="F279">
        <v>5</v>
      </c>
      <c r="G279">
        <v>1</v>
      </c>
      <c r="H279">
        <v>1</v>
      </c>
      <c r="I279">
        <v>0</v>
      </c>
      <c r="J279">
        <v>0</v>
      </c>
      <c r="K279">
        <v>0</v>
      </c>
    </row>
    <row r="280" spans="1:11">
      <c r="A280" t="s">
        <v>972</v>
      </c>
      <c r="B280">
        <v>90</v>
      </c>
      <c r="C280">
        <v>10</v>
      </c>
      <c r="D280">
        <v>0</v>
      </c>
      <c r="E280">
        <v>0</v>
      </c>
      <c r="F280">
        <v>0</v>
      </c>
      <c r="G280">
        <v>0</v>
      </c>
      <c r="H280">
        <v>5</v>
      </c>
      <c r="I280">
        <v>0</v>
      </c>
      <c r="J280">
        <v>0</v>
      </c>
      <c r="K280">
        <v>0</v>
      </c>
    </row>
    <row r="281" spans="1:11">
      <c r="A281" t="s">
        <v>972</v>
      </c>
      <c r="B281">
        <v>90</v>
      </c>
      <c r="C281">
        <v>75</v>
      </c>
      <c r="D281">
        <v>40</v>
      </c>
      <c r="E281">
        <v>30</v>
      </c>
      <c r="F281">
        <v>30</v>
      </c>
      <c r="G281">
        <v>20</v>
      </c>
      <c r="H281">
        <v>20</v>
      </c>
      <c r="I281">
        <v>20</v>
      </c>
      <c r="J281">
        <v>20</v>
      </c>
      <c r="K281">
        <v>10</v>
      </c>
    </row>
    <row r="282" spans="1:11">
      <c r="A282" t="s">
        <v>972</v>
      </c>
      <c r="B282">
        <v>90</v>
      </c>
      <c r="C282">
        <v>100</v>
      </c>
      <c r="D282">
        <v>0</v>
      </c>
      <c r="E282">
        <v>0</v>
      </c>
      <c r="F282">
        <v>0</v>
      </c>
      <c r="G282">
        <v>10</v>
      </c>
      <c r="H282">
        <v>0</v>
      </c>
      <c r="I282">
        <v>0</v>
      </c>
      <c r="J282">
        <v>0</v>
      </c>
      <c r="K282">
        <v>0</v>
      </c>
    </row>
    <row r="283" spans="1:11">
      <c r="A283" t="s">
        <v>972</v>
      </c>
      <c r="B283">
        <v>90</v>
      </c>
      <c r="C283">
        <v>0</v>
      </c>
      <c r="D283">
        <v>0</v>
      </c>
      <c r="E283">
        <v>0</v>
      </c>
      <c r="F283">
        <v>0</v>
      </c>
      <c r="G283">
        <v>0</v>
      </c>
      <c r="H283">
        <v>0</v>
      </c>
      <c r="I283">
        <v>0</v>
      </c>
      <c r="J283">
        <v>0</v>
      </c>
      <c r="K283">
        <v>0</v>
      </c>
    </row>
    <row r="284" spans="1:11">
      <c r="A284" t="s">
        <v>972</v>
      </c>
      <c r="B284">
        <v>90</v>
      </c>
      <c r="C284">
        <v>60</v>
      </c>
      <c r="D284">
        <v>0</v>
      </c>
      <c r="E284">
        <v>40</v>
      </c>
      <c r="F284">
        <v>0</v>
      </c>
      <c r="G284">
        <v>0</v>
      </c>
      <c r="H284">
        <v>0</v>
      </c>
      <c r="I284">
        <v>0</v>
      </c>
      <c r="J284">
        <v>0</v>
      </c>
      <c r="K284">
        <v>0</v>
      </c>
    </row>
    <row r="285" spans="1:11">
      <c r="A285" t="s">
        <v>972</v>
      </c>
      <c r="B285">
        <v>95</v>
      </c>
      <c r="C285">
        <v>95</v>
      </c>
      <c r="D285">
        <v>95</v>
      </c>
      <c r="E285">
        <v>95</v>
      </c>
      <c r="F285">
        <v>0</v>
      </c>
      <c r="G285">
        <v>0</v>
      </c>
      <c r="H285">
        <v>0</v>
      </c>
      <c r="I285">
        <v>0</v>
      </c>
      <c r="J285">
        <v>0</v>
      </c>
      <c r="K285">
        <v>0</v>
      </c>
    </row>
    <row r="286" spans="1:11">
      <c r="A286" t="s">
        <v>972</v>
      </c>
      <c r="B286">
        <v>95</v>
      </c>
      <c r="C286">
        <v>90</v>
      </c>
      <c r="D286">
        <v>25</v>
      </c>
      <c r="E286">
        <v>15</v>
      </c>
      <c r="F286">
        <v>0</v>
      </c>
      <c r="G286">
        <v>0</v>
      </c>
      <c r="H286">
        <v>5</v>
      </c>
      <c r="I286">
        <v>90</v>
      </c>
      <c r="J286">
        <v>0</v>
      </c>
      <c r="K286">
        <v>0</v>
      </c>
    </row>
    <row r="287" spans="1:11">
      <c r="A287" t="s">
        <v>972</v>
      </c>
      <c r="B287">
        <v>98</v>
      </c>
      <c r="C287">
        <v>98</v>
      </c>
      <c r="D287">
        <v>98</v>
      </c>
      <c r="E287">
        <v>0</v>
      </c>
      <c r="F287">
        <v>0</v>
      </c>
      <c r="G287">
        <v>10</v>
      </c>
      <c r="H287">
        <v>25</v>
      </c>
      <c r="I287">
        <v>98</v>
      </c>
      <c r="J287">
        <v>98</v>
      </c>
      <c r="K287">
        <v>0</v>
      </c>
    </row>
    <row r="288" spans="1:11">
      <c r="A288" t="s">
        <v>972</v>
      </c>
      <c r="B288">
        <v>100</v>
      </c>
      <c r="C288">
        <v>100</v>
      </c>
      <c r="D288">
        <v>100</v>
      </c>
      <c r="E288">
        <v>80</v>
      </c>
      <c r="F288">
        <v>0</v>
      </c>
      <c r="G288">
        <v>20</v>
      </c>
      <c r="H288">
        <v>5</v>
      </c>
      <c r="I288">
        <v>0</v>
      </c>
      <c r="J288">
        <v>100</v>
      </c>
      <c r="K288">
        <v>0</v>
      </c>
    </row>
    <row r="289" spans="1:11">
      <c r="A289" t="s">
        <v>972</v>
      </c>
      <c r="B289">
        <v>100</v>
      </c>
      <c r="C289">
        <v>100</v>
      </c>
      <c r="D289">
        <v>0</v>
      </c>
      <c r="E289">
        <v>0</v>
      </c>
      <c r="F289">
        <v>0</v>
      </c>
      <c r="G289">
        <v>0</v>
      </c>
      <c r="H289">
        <v>2</v>
      </c>
      <c r="I289">
        <v>0</v>
      </c>
      <c r="J289">
        <v>0</v>
      </c>
      <c r="K289">
        <v>0</v>
      </c>
    </row>
    <row r="290" spans="1:11">
      <c r="A290" t="s">
        <v>972</v>
      </c>
      <c r="B290">
        <v>100</v>
      </c>
      <c r="C290">
        <v>2</v>
      </c>
      <c r="D290">
        <v>0</v>
      </c>
      <c r="E290">
        <v>0</v>
      </c>
      <c r="F290">
        <v>0</v>
      </c>
      <c r="G290">
        <v>0</v>
      </c>
      <c r="H290">
        <v>0</v>
      </c>
      <c r="I290">
        <v>0</v>
      </c>
      <c r="J290">
        <v>0</v>
      </c>
      <c r="K290">
        <v>0</v>
      </c>
    </row>
    <row r="291" spans="1:11">
      <c r="A291" t="s">
        <v>972</v>
      </c>
      <c r="B291">
        <v>100</v>
      </c>
      <c r="C291">
        <v>0</v>
      </c>
      <c r="D291">
        <v>0</v>
      </c>
      <c r="E291">
        <v>0</v>
      </c>
      <c r="F291">
        <v>0</v>
      </c>
      <c r="G291">
        <v>0</v>
      </c>
      <c r="H291">
        <v>0</v>
      </c>
      <c r="I291">
        <v>0</v>
      </c>
      <c r="J291">
        <v>0</v>
      </c>
      <c r="K291">
        <v>0</v>
      </c>
    </row>
    <row r="292" spans="1:11">
      <c r="A292" t="s">
        <v>972</v>
      </c>
      <c r="B292">
        <v>100</v>
      </c>
      <c r="C292">
        <v>10</v>
      </c>
      <c r="D292">
        <v>10</v>
      </c>
      <c r="E292">
        <v>10</v>
      </c>
      <c r="F292">
        <v>0</v>
      </c>
      <c r="G292">
        <v>0</v>
      </c>
      <c r="H292">
        <v>0</v>
      </c>
      <c r="I292">
        <v>100</v>
      </c>
      <c r="J292">
        <v>0</v>
      </c>
      <c r="K292">
        <v>0</v>
      </c>
    </row>
    <row r="293" spans="1:11">
      <c r="A293" t="s">
        <v>972</v>
      </c>
      <c r="B293">
        <v>100</v>
      </c>
      <c r="C293">
        <v>0</v>
      </c>
      <c r="D293">
        <v>0</v>
      </c>
      <c r="E293">
        <v>0</v>
      </c>
      <c r="F293">
        <v>0</v>
      </c>
      <c r="G293">
        <v>0</v>
      </c>
      <c r="H293">
        <v>99</v>
      </c>
      <c r="I293">
        <v>0</v>
      </c>
      <c r="J293">
        <v>0</v>
      </c>
      <c r="K293">
        <v>0</v>
      </c>
    </row>
    <row r="294" spans="1:11">
      <c r="A294" t="s">
        <v>972</v>
      </c>
      <c r="B294">
        <v>100</v>
      </c>
      <c r="C294">
        <v>40</v>
      </c>
      <c r="D294">
        <v>40</v>
      </c>
      <c r="E294">
        <v>40</v>
      </c>
      <c r="F294">
        <v>5</v>
      </c>
      <c r="G294">
        <v>0</v>
      </c>
      <c r="H294">
        <v>0</v>
      </c>
      <c r="I294">
        <v>0</v>
      </c>
      <c r="J294">
        <v>0</v>
      </c>
      <c r="K294">
        <v>0</v>
      </c>
    </row>
    <row r="295" spans="1:11">
      <c r="A295" t="s">
        <v>972</v>
      </c>
      <c r="B295">
        <v>100</v>
      </c>
      <c r="C295">
        <v>100</v>
      </c>
      <c r="D295">
        <v>0</v>
      </c>
      <c r="E295">
        <v>0</v>
      </c>
      <c r="F295">
        <v>0</v>
      </c>
      <c r="G295">
        <v>0</v>
      </c>
      <c r="H295">
        <v>5</v>
      </c>
      <c r="I295">
        <v>0</v>
      </c>
      <c r="J295">
        <v>0</v>
      </c>
      <c r="K295">
        <v>0</v>
      </c>
    </row>
    <row r="296" spans="1:11">
      <c r="A296" t="s">
        <v>972</v>
      </c>
      <c r="B296">
        <v>100</v>
      </c>
      <c r="C296">
        <v>5</v>
      </c>
      <c r="D296">
        <v>0</v>
      </c>
      <c r="E296">
        <v>0</v>
      </c>
      <c r="F296">
        <v>0</v>
      </c>
      <c r="G296">
        <v>0</v>
      </c>
      <c r="H296">
        <v>0</v>
      </c>
      <c r="I296">
        <v>0</v>
      </c>
      <c r="J296">
        <v>0</v>
      </c>
      <c r="K296">
        <v>0</v>
      </c>
    </row>
    <row r="297" spans="1:11">
      <c r="A297" t="s">
        <v>972</v>
      </c>
      <c r="B297">
        <v>100</v>
      </c>
      <c r="C297">
        <v>50</v>
      </c>
      <c r="D297">
        <v>0</v>
      </c>
      <c r="E297">
        <v>0</v>
      </c>
      <c r="F297">
        <v>0</v>
      </c>
      <c r="G297">
        <v>0</v>
      </c>
      <c r="H297">
        <v>0</v>
      </c>
      <c r="I297">
        <v>0</v>
      </c>
      <c r="J297">
        <v>0</v>
      </c>
      <c r="K297">
        <v>0</v>
      </c>
    </row>
    <row r="298" spans="1:11">
      <c r="B298" s="39">
        <f t="shared" ref="B298:K298" si="4">(SUM(B245:B297)/53)</f>
        <v>53.471698113207545</v>
      </c>
      <c r="C298" s="39">
        <f t="shared" si="4"/>
        <v>33.660377358490564</v>
      </c>
      <c r="D298" s="39">
        <f t="shared" si="4"/>
        <v>12.849056603773585</v>
      </c>
      <c r="E298" s="39">
        <f t="shared" si="4"/>
        <v>8.1320754716981138</v>
      </c>
      <c r="F298" s="39">
        <f t="shared" si="4"/>
        <v>4.7547169811320753</v>
      </c>
      <c r="G298" s="39">
        <f t="shared" si="4"/>
        <v>1.3962264150943395</v>
      </c>
      <c r="H298" s="39">
        <f t="shared" si="4"/>
        <v>5.0188679245283021</v>
      </c>
      <c r="I298" s="39">
        <f t="shared" si="4"/>
        <v>8.415094339622641</v>
      </c>
      <c r="J298" s="39">
        <f t="shared" si="4"/>
        <v>5.0566037735849054</v>
      </c>
      <c r="K298" s="39">
        <f t="shared" si="4"/>
        <v>2.8301886792452828</v>
      </c>
    </row>
    <row r="301" spans="1:11">
      <c r="A301" t="s">
        <v>954</v>
      </c>
      <c r="B301">
        <v>0</v>
      </c>
      <c r="C301">
        <v>100</v>
      </c>
      <c r="D301">
        <v>95</v>
      </c>
      <c r="E301">
        <v>10</v>
      </c>
      <c r="F301">
        <v>0</v>
      </c>
      <c r="G301">
        <v>0</v>
      </c>
      <c r="H301">
        <v>0</v>
      </c>
      <c r="I301">
        <v>100</v>
      </c>
      <c r="J301">
        <v>0</v>
      </c>
      <c r="K301">
        <v>0</v>
      </c>
    </row>
    <row r="302" spans="1:11">
      <c r="A302" t="s">
        <v>954</v>
      </c>
      <c r="B302">
        <v>27</v>
      </c>
      <c r="C302">
        <v>3</v>
      </c>
      <c r="D302">
        <v>1</v>
      </c>
      <c r="E302">
        <v>2</v>
      </c>
      <c r="F302">
        <v>0</v>
      </c>
      <c r="G302">
        <v>0</v>
      </c>
      <c r="H302">
        <v>0</v>
      </c>
      <c r="I302">
        <v>1</v>
      </c>
      <c r="J302">
        <v>0</v>
      </c>
      <c r="K302">
        <v>0</v>
      </c>
    </row>
    <row r="303" spans="1:11">
      <c r="A303" t="s">
        <v>954</v>
      </c>
      <c r="B303">
        <v>60</v>
      </c>
      <c r="C303">
        <v>10</v>
      </c>
      <c r="D303">
        <v>0</v>
      </c>
      <c r="E303">
        <v>1</v>
      </c>
      <c r="F303">
        <v>0</v>
      </c>
      <c r="G303">
        <v>1</v>
      </c>
      <c r="H303">
        <v>1</v>
      </c>
      <c r="I303">
        <v>0</v>
      </c>
      <c r="J303">
        <v>0</v>
      </c>
      <c r="K303">
        <v>0</v>
      </c>
    </row>
    <row r="304" spans="1:11">
      <c r="A304" t="s">
        <v>954</v>
      </c>
      <c r="B304">
        <v>100</v>
      </c>
      <c r="C304">
        <v>2</v>
      </c>
      <c r="D304">
        <v>1</v>
      </c>
      <c r="E304">
        <v>1</v>
      </c>
      <c r="F304">
        <v>0</v>
      </c>
      <c r="G304">
        <v>1</v>
      </c>
      <c r="H304">
        <v>1</v>
      </c>
      <c r="I304">
        <v>48</v>
      </c>
      <c r="J304">
        <v>5</v>
      </c>
      <c r="K304">
        <v>0</v>
      </c>
    </row>
    <row r="305" spans="1:11">
      <c r="B305" s="39">
        <f>(SUM(B301:B304)/4)</f>
        <v>46.75</v>
      </c>
      <c r="C305" s="39">
        <f t="shared" ref="C305:K305" si="5">(SUM(C301:C304)/4)</f>
        <v>28.75</v>
      </c>
      <c r="D305" s="39">
        <f t="shared" si="5"/>
        <v>24.25</v>
      </c>
      <c r="E305" s="39">
        <f t="shared" si="5"/>
        <v>3.5</v>
      </c>
      <c r="F305" s="39">
        <f t="shared" si="5"/>
        <v>0</v>
      </c>
      <c r="G305" s="39">
        <f t="shared" si="5"/>
        <v>0.5</v>
      </c>
      <c r="H305" s="39">
        <f t="shared" si="5"/>
        <v>0.5</v>
      </c>
      <c r="I305" s="39">
        <f t="shared" si="5"/>
        <v>37.25</v>
      </c>
      <c r="J305" s="39">
        <f t="shared" si="5"/>
        <v>1.25</v>
      </c>
      <c r="K305" s="39">
        <f t="shared" si="5"/>
        <v>0</v>
      </c>
    </row>
    <row r="307" spans="1:11">
      <c r="A307" s="3" t="s">
        <v>1246</v>
      </c>
    </row>
    <row r="309" spans="1:11">
      <c r="B309" t="s">
        <v>1108</v>
      </c>
      <c r="C309" t="s">
        <v>1109</v>
      </c>
      <c r="D309" t="s">
        <v>1110</v>
      </c>
      <c r="E309" t="s">
        <v>1111</v>
      </c>
      <c r="F309" t="s">
        <v>1112</v>
      </c>
      <c r="G309" t="s">
        <v>1113</v>
      </c>
      <c r="H309" t="s">
        <v>1114</v>
      </c>
      <c r="I309" t="s">
        <v>1115</v>
      </c>
      <c r="J309" t="s">
        <v>1116</v>
      </c>
      <c r="K309" t="s">
        <v>954</v>
      </c>
    </row>
    <row r="310" spans="1:11">
      <c r="A310" t="s">
        <v>974</v>
      </c>
      <c r="B310">
        <v>0</v>
      </c>
      <c r="C310">
        <v>100</v>
      </c>
      <c r="D310">
        <v>0</v>
      </c>
      <c r="E310">
        <v>0</v>
      </c>
      <c r="F310">
        <v>0</v>
      </c>
      <c r="G310">
        <v>0</v>
      </c>
      <c r="H310">
        <v>0</v>
      </c>
      <c r="I310">
        <v>0</v>
      </c>
      <c r="J310">
        <v>0</v>
      </c>
      <c r="K310">
        <v>0</v>
      </c>
    </row>
    <row r="311" spans="1:11">
      <c r="A311" t="s">
        <v>974</v>
      </c>
      <c r="B311">
        <v>0</v>
      </c>
      <c r="C311">
        <v>2</v>
      </c>
      <c r="D311">
        <v>0</v>
      </c>
      <c r="E311">
        <v>0</v>
      </c>
      <c r="F311">
        <v>0</v>
      </c>
      <c r="G311">
        <v>0</v>
      </c>
      <c r="H311">
        <v>0</v>
      </c>
      <c r="I311">
        <v>0</v>
      </c>
      <c r="J311">
        <v>0</v>
      </c>
      <c r="K311">
        <v>0</v>
      </c>
    </row>
    <row r="312" spans="1:11">
      <c r="A312" t="s">
        <v>974</v>
      </c>
      <c r="B312">
        <v>0</v>
      </c>
      <c r="C312">
        <v>95</v>
      </c>
      <c r="D312">
        <v>0</v>
      </c>
      <c r="E312">
        <v>0</v>
      </c>
      <c r="F312">
        <v>95</v>
      </c>
      <c r="G312">
        <v>0</v>
      </c>
      <c r="H312">
        <v>0</v>
      </c>
      <c r="I312">
        <v>0</v>
      </c>
      <c r="J312">
        <v>0</v>
      </c>
      <c r="K312">
        <v>0</v>
      </c>
    </row>
    <row r="313" spans="1:11">
      <c r="A313" t="s">
        <v>974</v>
      </c>
      <c r="B313">
        <v>0</v>
      </c>
      <c r="C313">
        <v>10</v>
      </c>
      <c r="D313">
        <v>0</v>
      </c>
      <c r="E313">
        <v>0</v>
      </c>
      <c r="F313">
        <v>0</v>
      </c>
      <c r="G313">
        <v>0</v>
      </c>
      <c r="H313">
        <v>0</v>
      </c>
      <c r="I313">
        <v>0</v>
      </c>
      <c r="J313">
        <v>0</v>
      </c>
      <c r="K313">
        <v>0</v>
      </c>
    </row>
    <row r="314" spans="1:11">
      <c r="A314" t="s">
        <v>974</v>
      </c>
      <c r="B314">
        <v>0</v>
      </c>
      <c r="C314">
        <v>100</v>
      </c>
      <c r="D314">
        <v>100</v>
      </c>
      <c r="E314">
        <v>20</v>
      </c>
      <c r="F314">
        <v>0</v>
      </c>
      <c r="G314">
        <v>10</v>
      </c>
      <c r="H314">
        <v>10</v>
      </c>
      <c r="I314">
        <v>100</v>
      </c>
      <c r="J314">
        <v>20</v>
      </c>
      <c r="K314">
        <v>0</v>
      </c>
    </row>
    <row r="315" spans="1:11">
      <c r="A315" t="s">
        <v>974</v>
      </c>
      <c r="B315">
        <v>0</v>
      </c>
      <c r="C315">
        <v>100</v>
      </c>
      <c r="D315">
        <v>0</v>
      </c>
      <c r="E315">
        <v>0</v>
      </c>
      <c r="F315">
        <v>1</v>
      </c>
      <c r="G315">
        <v>0</v>
      </c>
      <c r="H315">
        <v>1</v>
      </c>
      <c r="I315">
        <v>1</v>
      </c>
      <c r="J315">
        <v>1</v>
      </c>
      <c r="K315">
        <v>0</v>
      </c>
    </row>
    <row r="316" spans="1:11">
      <c r="A316" t="s">
        <v>974</v>
      </c>
      <c r="B316">
        <v>0</v>
      </c>
      <c r="C316">
        <v>0</v>
      </c>
      <c r="D316">
        <v>0</v>
      </c>
      <c r="E316">
        <v>0</v>
      </c>
      <c r="F316">
        <v>0</v>
      </c>
      <c r="G316">
        <v>0</v>
      </c>
      <c r="H316">
        <v>0</v>
      </c>
      <c r="I316">
        <v>0</v>
      </c>
      <c r="J316">
        <v>100</v>
      </c>
      <c r="K316">
        <v>0</v>
      </c>
    </row>
    <row r="317" spans="1:11">
      <c r="A317" t="s">
        <v>974</v>
      </c>
      <c r="B317">
        <v>0</v>
      </c>
      <c r="C317">
        <v>100</v>
      </c>
      <c r="D317">
        <v>0</v>
      </c>
      <c r="E317">
        <v>0</v>
      </c>
      <c r="F317">
        <v>0</v>
      </c>
      <c r="G317">
        <v>0</v>
      </c>
      <c r="H317">
        <v>0</v>
      </c>
      <c r="I317">
        <v>0</v>
      </c>
      <c r="J317">
        <v>0</v>
      </c>
      <c r="K317">
        <v>0</v>
      </c>
    </row>
    <row r="318" spans="1:11">
      <c r="A318" t="s">
        <v>974</v>
      </c>
      <c r="B318">
        <v>1</v>
      </c>
      <c r="C318">
        <v>15</v>
      </c>
      <c r="D318">
        <v>15</v>
      </c>
      <c r="E318">
        <v>0</v>
      </c>
      <c r="F318">
        <v>5</v>
      </c>
      <c r="G318">
        <v>0</v>
      </c>
      <c r="H318">
        <v>1</v>
      </c>
      <c r="I318">
        <v>0</v>
      </c>
      <c r="J318">
        <v>0</v>
      </c>
      <c r="K318">
        <v>1</v>
      </c>
    </row>
    <row r="319" spans="1:11">
      <c r="A319" t="s">
        <v>974</v>
      </c>
      <c r="B319">
        <v>4</v>
      </c>
      <c r="C319">
        <v>100</v>
      </c>
      <c r="D319">
        <v>0</v>
      </c>
      <c r="E319">
        <v>0</v>
      </c>
      <c r="F319">
        <v>0</v>
      </c>
      <c r="G319">
        <v>0</v>
      </c>
      <c r="H319">
        <v>0</v>
      </c>
      <c r="I319">
        <v>0</v>
      </c>
      <c r="J319">
        <v>0</v>
      </c>
      <c r="K319">
        <v>0</v>
      </c>
    </row>
    <row r="320" spans="1:11">
      <c r="A320" t="s">
        <v>974</v>
      </c>
      <c r="B320">
        <v>5</v>
      </c>
      <c r="C320">
        <v>4</v>
      </c>
      <c r="D320">
        <v>0</v>
      </c>
      <c r="E320">
        <v>0</v>
      </c>
      <c r="F320">
        <v>0</v>
      </c>
      <c r="G320">
        <v>0</v>
      </c>
      <c r="H320">
        <v>0</v>
      </c>
      <c r="I320">
        <v>0</v>
      </c>
      <c r="J320">
        <v>0</v>
      </c>
      <c r="K320">
        <v>0</v>
      </c>
    </row>
    <row r="321" spans="1:11">
      <c r="A321" t="s">
        <v>974</v>
      </c>
      <c r="B321">
        <v>5</v>
      </c>
      <c r="C321">
        <v>0</v>
      </c>
      <c r="D321">
        <v>2</v>
      </c>
      <c r="E321">
        <v>100</v>
      </c>
      <c r="F321">
        <v>0</v>
      </c>
      <c r="G321">
        <v>0</v>
      </c>
      <c r="H321">
        <v>0</v>
      </c>
      <c r="I321">
        <v>0</v>
      </c>
      <c r="J321">
        <v>0</v>
      </c>
      <c r="K321">
        <v>5</v>
      </c>
    </row>
    <row r="322" spans="1:11">
      <c r="A322" t="s">
        <v>974</v>
      </c>
      <c r="B322">
        <v>7</v>
      </c>
      <c r="C322">
        <v>7</v>
      </c>
      <c r="D322">
        <v>0</v>
      </c>
      <c r="E322">
        <v>0</v>
      </c>
      <c r="F322">
        <v>0</v>
      </c>
      <c r="G322">
        <v>0</v>
      </c>
      <c r="H322">
        <v>0</v>
      </c>
      <c r="I322">
        <v>0</v>
      </c>
      <c r="J322">
        <v>0</v>
      </c>
      <c r="K322">
        <v>0</v>
      </c>
    </row>
    <row r="323" spans="1:11">
      <c r="A323" t="s">
        <v>974</v>
      </c>
      <c r="B323">
        <v>10</v>
      </c>
      <c r="C323">
        <v>90</v>
      </c>
      <c r="D323">
        <v>90</v>
      </c>
      <c r="E323">
        <v>90</v>
      </c>
      <c r="F323">
        <v>0</v>
      </c>
      <c r="G323">
        <v>10</v>
      </c>
      <c r="H323">
        <v>5</v>
      </c>
      <c r="I323">
        <v>25</v>
      </c>
      <c r="J323">
        <v>25</v>
      </c>
      <c r="K323">
        <v>0</v>
      </c>
    </row>
    <row r="324" spans="1:11">
      <c r="A324" t="s">
        <v>974</v>
      </c>
      <c r="B324">
        <v>10</v>
      </c>
      <c r="C324">
        <v>5</v>
      </c>
      <c r="D324">
        <v>1</v>
      </c>
      <c r="E324">
        <v>1</v>
      </c>
      <c r="F324">
        <v>0</v>
      </c>
      <c r="G324">
        <v>0</v>
      </c>
      <c r="H324">
        <v>0</v>
      </c>
      <c r="I324">
        <v>0</v>
      </c>
      <c r="J324">
        <v>1</v>
      </c>
      <c r="K324">
        <v>0</v>
      </c>
    </row>
    <row r="325" spans="1:11">
      <c r="A325" t="s">
        <v>974</v>
      </c>
      <c r="B325">
        <v>18</v>
      </c>
      <c r="C325">
        <v>15</v>
      </c>
      <c r="D325">
        <v>5</v>
      </c>
      <c r="E325">
        <v>5</v>
      </c>
      <c r="F325">
        <v>5</v>
      </c>
      <c r="G325">
        <v>0</v>
      </c>
      <c r="H325">
        <v>0</v>
      </c>
      <c r="I325">
        <v>0</v>
      </c>
      <c r="J325">
        <v>0</v>
      </c>
      <c r="K325">
        <v>0</v>
      </c>
    </row>
    <row r="326" spans="1:11">
      <c r="A326" t="s">
        <v>974</v>
      </c>
      <c r="B326">
        <v>20</v>
      </c>
      <c r="C326">
        <v>20</v>
      </c>
      <c r="D326">
        <v>0</v>
      </c>
      <c r="E326">
        <v>0</v>
      </c>
      <c r="F326">
        <v>0</v>
      </c>
      <c r="G326">
        <v>0</v>
      </c>
      <c r="H326">
        <v>0</v>
      </c>
      <c r="I326">
        <v>0</v>
      </c>
      <c r="J326">
        <v>0</v>
      </c>
      <c r="K326">
        <v>0</v>
      </c>
    </row>
    <row r="327" spans="1:11">
      <c r="A327" t="s">
        <v>974</v>
      </c>
      <c r="B327">
        <v>20</v>
      </c>
      <c r="C327">
        <v>20</v>
      </c>
      <c r="D327">
        <v>20</v>
      </c>
      <c r="E327">
        <v>20</v>
      </c>
      <c r="F327">
        <v>0</v>
      </c>
      <c r="G327">
        <v>0</v>
      </c>
      <c r="H327">
        <v>0</v>
      </c>
      <c r="I327">
        <v>0</v>
      </c>
      <c r="J327">
        <v>0</v>
      </c>
      <c r="K327">
        <v>0</v>
      </c>
    </row>
    <row r="328" spans="1:11">
      <c r="A328" t="s">
        <v>974</v>
      </c>
      <c r="B328">
        <v>25</v>
      </c>
      <c r="C328">
        <v>0</v>
      </c>
      <c r="D328">
        <v>0</v>
      </c>
      <c r="E328">
        <v>0</v>
      </c>
      <c r="F328">
        <v>0</v>
      </c>
      <c r="G328">
        <v>0</v>
      </c>
      <c r="H328">
        <v>0</v>
      </c>
      <c r="I328">
        <v>0</v>
      </c>
      <c r="J328">
        <v>15</v>
      </c>
      <c r="K328">
        <v>0</v>
      </c>
    </row>
    <row r="329" spans="1:11">
      <c r="A329" t="s">
        <v>974</v>
      </c>
      <c r="B329">
        <v>25</v>
      </c>
      <c r="C329">
        <v>15</v>
      </c>
      <c r="D329">
        <v>15</v>
      </c>
      <c r="E329">
        <v>15</v>
      </c>
      <c r="F329">
        <v>0</v>
      </c>
      <c r="G329">
        <v>0</v>
      </c>
      <c r="H329">
        <v>0</v>
      </c>
      <c r="I329">
        <v>0</v>
      </c>
      <c r="J329">
        <v>0</v>
      </c>
      <c r="K329">
        <v>0</v>
      </c>
    </row>
    <row r="330" spans="1:11">
      <c r="A330" t="s">
        <v>974</v>
      </c>
      <c r="B330">
        <v>40</v>
      </c>
      <c r="C330">
        <v>0</v>
      </c>
      <c r="D330">
        <v>0</v>
      </c>
      <c r="E330">
        <v>0</v>
      </c>
      <c r="F330">
        <v>0</v>
      </c>
      <c r="G330">
        <v>0</v>
      </c>
      <c r="H330">
        <v>0</v>
      </c>
      <c r="I330">
        <v>0</v>
      </c>
      <c r="J330">
        <v>0</v>
      </c>
      <c r="K330">
        <v>0</v>
      </c>
    </row>
    <row r="331" spans="1:11">
      <c r="A331" t="s">
        <v>974</v>
      </c>
      <c r="B331">
        <v>85</v>
      </c>
      <c r="C331">
        <v>10</v>
      </c>
      <c r="D331">
        <v>10</v>
      </c>
      <c r="E331">
        <v>0</v>
      </c>
      <c r="F331">
        <v>0</v>
      </c>
      <c r="G331">
        <v>0</v>
      </c>
      <c r="H331">
        <v>8</v>
      </c>
      <c r="I331">
        <v>0</v>
      </c>
      <c r="J331">
        <v>0</v>
      </c>
      <c r="K331">
        <v>0</v>
      </c>
    </row>
    <row r="332" spans="1:11">
      <c r="A332" t="s">
        <v>974</v>
      </c>
      <c r="B332">
        <v>100</v>
      </c>
      <c r="C332">
        <v>0</v>
      </c>
      <c r="D332">
        <v>100</v>
      </c>
      <c r="E332">
        <v>100</v>
      </c>
      <c r="F332">
        <v>0</v>
      </c>
      <c r="G332">
        <v>0</v>
      </c>
      <c r="H332">
        <v>0</v>
      </c>
      <c r="I332">
        <v>0</v>
      </c>
      <c r="J332">
        <v>0</v>
      </c>
      <c r="K332">
        <v>0</v>
      </c>
    </row>
    <row r="333" spans="1:11">
      <c r="A333" t="s">
        <v>974</v>
      </c>
      <c r="B333">
        <v>100</v>
      </c>
      <c r="C333">
        <v>100</v>
      </c>
      <c r="D333">
        <v>100</v>
      </c>
      <c r="E333">
        <v>20</v>
      </c>
      <c r="F333">
        <v>0</v>
      </c>
      <c r="G333">
        <v>0</v>
      </c>
      <c r="H333">
        <v>20</v>
      </c>
      <c r="I333">
        <v>20</v>
      </c>
      <c r="J333">
        <v>25</v>
      </c>
      <c r="K333">
        <v>0</v>
      </c>
    </row>
    <row r="334" spans="1:11">
      <c r="A334" t="s">
        <v>974</v>
      </c>
      <c r="B334">
        <v>100</v>
      </c>
      <c r="C334">
        <v>100</v>
      </c>
      <c r="D334">
        <v>100</v>
      </c>
      <c r="E334">
        <v>100</v>
      </c>
      <c r="F334">
        <v>0</v>
      </c>
      <c r="G334">
        <v>0</v>
      </c>
      <c r="H334">
        <v>100</v>
      </c>
      <c r="I334">
        <v>0</v>
      </c>
      <c r="J334">
        <v>0</v>
      </c>
      <c r="K334">
        <v>100</v>
      </c>
    </row>
    <row r="335" spans="1:11">
      <c r="A335" t="s">
        <v>974</v>
      </c>
      <c r="B335">
        <v>100</v>
      </c>
      <c r="C335">
        <v>20</v>
      </c>
      <c r="D335">
        <v>0</v>
      </c>
      <c r="E335">
        <v>0</v>
      </c>
      <c r="F335">
        <v>0</v>
      </c>
      <c r="G335">
        <v>0</v>
      </c>
      <c r="H335">
        <v>0</v>
      </c>
      <c r="I335">
        <v>0</v>
      </c>
      <c r="J335">
        <v>0</v>
      </c>
      <c r="K335">
        <v>0</v>
      </c>
    </row>
    <row r="336" spans="1:11">
      <c r="B336" s="39">
        <f>(SUM(B310:B335)/26)</f>
        <v>25.96153846153846</v>
      </c>
      <c r="C336" s="39">
        <f t="shared" ref="C336:K336" si="6">(SUM(C310:C335)/26)</f>
        <v>39.53846153846154</v>
      </c>
      <c r="D336" s="39">
        <f t="shared" si="6"/>
        <v>21.46153846153846</v>
      </c>
      <c r="E336" s="39">
        <f t="shared" si="6"/>
        <v>18.115384615384617</v>
      </c>
      <c r="F336" s="39">
        <f t="shared" si="6"/>
        <v>4.0769230769230766</v>
      </c>
      <c r="G336" s="39">
        <f t="shared" si="6"/>
        <v>0.76923076923076927</v>
      </c>
      <c r="H336" s="39">
        <f t="shared" si="6"/>
        <v>5.5769230769230766</v>
      </c>
      <c r="I336" s="39">
        <f t="shared" si="6"/>
        <v>5.615384615384615</v>
      </c>
      <c r="J336" s="39">
        <f t="shared" si="6"/>
        <v>7.1923076923076925</v>
      </c>
      <c r="K336" s="39">
        <f t="shared" si="6"/>
        <v>4.0769230769230766</v>
      </c>
    </row>
    <row r="339" spans="1:11">
      <c r="A339" t="s">
        <v>973</v>
      </c>
      <c r="B339">
        <v>0</v>
      </c>
      <c r="C339">
        <v>10</v>
      </c>
      <c r="D339">
        <v>2</v>
      </c>
      <c r="E339">
        <v>2</v>
      </c>
      <c r="F339">
        <v>10</v>
      </c>
      <c r="G339">
        <v>1</v>
      </c>
      <c r="H339">
        <v>0</v>
      </c>
      <c r="I339">
        <v>0</v>
      </c>
      <c r="J339">
        <v>0</v>
      </c>
      <c r="K339">
        <v>0</v>
      </c>
    </row>
    <row r="340" spans="1:11">
      <c r="A340" t="s">
        <v>973</v>
      </c>
      <c r="B340">
        <v>0</v>
      </c>
      <c r="C340">
        <v>100</v>
      </c>
      <c r="D340">
        <v>25</v>
      </c>
      <c r="E340">
        <v>15</v>
      </c>
      <c r="F340">
        <v>10</v>
      </c>
      <c r="G340">
        <v>0</v>
      </c>
      <c r="H340">
        <v>0</v>
      </c>
      <c r="I340">
        <v>0</v>
      </c>
      <c r="J340">
        <v>0</v>
      </c>
      <c r="K340">
        <v>100</v>
      </c>
    </row>
    <row r="341" spans="1:11">
      <c r="A341" t="s">
        <v>973</v>
      </c>
      <c r="B341">
        <v>0</v>
      </c>
      <c r="C341">
        <v>60</v>
      </c>
      <c r="D341">
        <v>0</v>
      </c>
      <c r="E341">
        <v>0</v>
      </c>
      <c r="F341">
        <v>0</v>
      </c>
      <c r="G341">
        <v>0</v>
      </c>
      <c r="H341">
        <v>0</v>
      </c>
      <c r="I341">
        <v>0</v>
      </c>
      <c r="J341">
        <v>0</v>
      </c>
      <c r="K341">
        <v>0</v>
      </c>
    </row>
    <row r="342" spans="1:11">
      <c r="A342" t="s">
        <v>973</v>
      </c>
      <c r="B342">
        <v>0</v>
      </c>
      <c r="C342">
        <v>100</v>
      </c>
      <c r="D342">
        <v>0</v>
      </c>
      <c r="E342">
        <v>0</v>
      </c>
      <c r="F342">
        <v>0</v>
      </c>
      <c r="G342">
        <v>0</v>
      </c>
      <c r="H342">
        <v>0</v>
      </c>
      <c r="I342">
        <v>0</v>
      </c>
      <c r="J342">
        <v>0</v>
      </c>
      <c r="K342">
        <v>0</v>
      </c>
    </row>
    <row r="343" spans="1:11">
      <c r="A343" t="s">
        <v>973</v>
      </c>
      <c r="B343">
        <v>100</v>
      </c>
      <c r="C343">
        <v>95</v>
      </c>
      <c r="D343">
        <v>10</v>
      </c>
      <c r="E343">
        <v>10</v>
      </c>
      <c r="F343">
        <v>0</v>
      </c>
      <c r="G343">
        <v>0</v>
      </c>
      <c r="H343">
        <v>0</v>
      </c>
      <c r="I343">
        <v>10</v>
      </c>
      <c r="J343">
        <v>0</v>
      </c>
      <c r="K343">
        <v>0</v>
      </c>
    </row>
    <row r="344" spans="1:11">
      <c r="A344" t="s">
        <v>973</v>
      </c>
      <c r="B344">
        <v>100</v>
      </c>
      <c r="C344">
        <v>85</v>
      </c>
      <c r="D344">
        <v>0</v>
      </c>
      <c r="E344">
        <v>30</v>
      </c>
      <c r="F344">
        <v>0</v>
      </c>
      <c r="G344">
        <v>0</v>
      </c>
      <c r="H344">
        <v>0</v>
      </c>
      <c r="I344">
        <v>0</v>
      </c>
      <c r="J344">
        <v>0</v>
      </c>
      <c r="K344">
        <v>0</v>
      </c>
    </row>
    <row r="345" spans="1:11">
      <c r="A345" t="s">
        <v>973</v>
      </c>
      <c r="B345">
        <v>100</v>
      </c>
      <c r="C345">
        <v>62</v>
      </c>
      <c r="D345">
        <v>62</v>
      </c>
      <c r="E345">
        <v>62</v>
      </c>
      <c r="F345">
        <v>0</v>
      </c>
      <c r="G345">
        <v>15</v>
      </c>
      <c r="H345">
        <v>2</v>
      </c>
      <c r="I345">
        <v>62</v>
      </c>
      <c r="J345">
        <v>62</v>
      </c>
      <c r="K345">
        <v>0</v>
      </c>
    </row>
    <row r="346" spans="1:11">
      <c r="B346" s="39">
        <f>(SUM(B339:B345)/7)</f>
        <v>42.857142857142854</v>
      </c>
      <c r="C346" s="39">
        <f t="shared" ref="C346:K346" si="7">(SUM(C339:C345)/7)</f>
        <v>73.142857142857139</v>
      </c>
      <c r="D346" s="39">
        <f t="shared" si="7"/>
        <v>14.142857142857142</v>
      </c>
      <c r="E346" s="39">
        <f t="shared" si="7"/>
        <v>17</v>
      </c>
      <c r="F346" s="39">
        <f t="shared" si="7"/>
        <v>2.8571428571428572</v>
      </c>
      <c r="G346" s="39">
        <f t="shared" si="7"/>
        <v>2.2857142857142856</v>
      </c>
      <c r="H346" s="39">
        <f t="shared" si="7"/>
        <v>0.2857142857142857</v>
      </c>
      <c r="I346" s="39">
        <f t="shared" si="7"/>
        <v>10.285714285714286</v>
      </c>
      <c r="J346" s="39">
        <f t="shared" si="7"/>
        <v>8.8571428571428577</v>
      </c>
      <c r="K346" s="39">
        <f t="shared" si="7"/>
        <v>14.285714285714286</v>
      </c>
    </row>
    <row r="349" spans="1:11">
      <c r="A349" t="s">
        <v>972</v>
      </c>
      <c r="B349">
        <v>0</v>
      </c>
      <c r="C349">
        <v>0</v>
      </c>
      <c r="D349">
        <v>0</v>
      </c>
      <c r="E349">
        <v>0</v>
      </c>
      <c r="F349">
        <v>0</v>
      </c>
      <c r="G349">
        <v>50</v>
      </c>
      <c r="H349">
        <v>50</v>
      </c>
      <c r="I349">
        <v>0</v>
      </c>
      <c r="J349">
        <v>0</v>
      </c>
      <c r="K349">
        <v>0</v>
      </c>
    </row>
    <row r="350" spans="1:11">
      <c r="A350" t="s">
        <v>972</v>
      </c>
      <c r="B350">
        <v>0</v>
      </c>
      <c r="C350">
        <v>3</v>
      </c>
      <c r="D350">
        <v>3</v>
      </c>
      <c r="E350">
        <v>3</v>
      </c>
      <c r="F350">
        <v>3</v>
      </c>
      <c r="G350">
        <v>0</v>
      </c>
      <c r="H350">
        <v>0</v>
      </c>
      <c r="I350">
        <v>0</v>
      </c>
      <c r="J350">
        <v>0</v>
      </c>
      <c r="K350">
        <v>0</v>
      </c>
    </row>
    <row r="351" spans="1:11">
      <c r="A351" t="s">
        <v>972</v>
      </c>
      <c r="B351">
        <v>0</v>
      </c>
      <c r="C351">
        <v>0</v>
      </c>
      <c r="D351">
        <v>0</v>
      </c>
      <c r="E351">
        <v>0</v>
      </c>
      <c r="F351">
        <v>0</v>
      </c>
      <c r="G351">
        <v>0</v>
      </c>
      <c r="H351">
        <v>0</v>
      </c>
      <c r="I351">
        <v>0</v>
      </c>
      <c r="J351">
        <v>0</v>
      </c>
      <c r="K351">
        <v>95</v>
      </c>
    </row>
    <row r="352" spans="1:11">
      <c r="A352" t="s">
        <v>972</v>
      </c>
      <c r="B352">
        <v>0</v>
      </c>
      <c r="C352">
        <v>100</v>
      </c>
      <c r="D352">
        <v>0</v>
      </c>
      <c r="E352">
        <v>0</v>
      </c>
      <c r="F352">
        <v>0</v>
      </c>
      <c r="G352">
        <v>0</v>
      </c>
      <c r="H352">
        <v>0</v>
      </c>
      <c r="I352">
        <v>0</v>
      </c>
      <c r="J352">
        <v>0</v>
      </c>
      <c r="K352">
        <v>0</v>
      </c>
    </row>
    <row r="353" spans="1:11">
      <c r="A353" t="s">
        <v>972</v>
      </c>
      <c r="B353">
        <v>0</v>
      </c>
      <c r="C353">
        <v>40</v>
      </c>
      <c r="D353">
        <v>0</v>
      </c>
      <c r="E353">
        <v>0</v>
      </c>
      <c r="F353">
        <v>0</v>
      </c>
      <c r="G353">
        <v>0</v>
      </c>
      <c r="H353">
        <v>0</v>
      </c>
      <c r="I353">
        <v>0</v>
      </c>
      <c r="J353">
        <v>0</v>
      </c>
      <c r="K353">
        <v>0</v>
      </c>
    </row>
    <row r="354" spans="1:11">
      <c r="A354" t="s">
        <v>972</v>
      </c>
      <c r="B354">
        <v>0</v>
      </c>
      <c r="C354">
        <v>50</v>
      </c>
      <c r="D354">
        <v>0</v>
      </c>
      <c r="E354">
        <v>0</v>
      </c>
      <c r="F354">
        <v>0</v>
      </c>
      <c r="G354">
        <v>0</v>
      </c>
      <c r="H354">
        <v>0</v>
      </c>
      <c r="I354">
        <v>0</v>
      </c>
      <c r="J354">
        <v>0</v>
      </c>
      <c r="K354">
        <v>0</v>
      </c>
    </row>
    <row r="355" spans="1:11">
      <c r="A355" t="s">
        <v>972</v>
      </c>
      <c r="B355">
        <v>0</v>
      </c>
      <c r="C355">
        <v>50</v>
      </c>
      <c r="D355">
        <v>0</v>
      </c>
      <c r="E355">
        <v>0</v>
      </c>
      <c r="F355">
        <v>0</v>
      </c>
      <c r="G355">
        <v>0</v>
      </c>
      <c r="H355">
        <v>0</v>
      </c>
      <c r="I355">
        <v>0</v>
      </c>
      <c r="J355">
        <v>0</v>
      </c>
      <c r="K355">
        <v>0</v>
      </c>
    </row>
    <row r="356" spans="1:11">
      <c r="A356" t="s">
        <v>972</v>
      </c>
      <c r="B356">
        <v>0</v>
      </c>
      <c r="C356">
        <v>70</v>
      </c>
      <c r="D356">
        <v>0</v>
      </c>
      <c r="E356">
        <v>0</v>
      </c>
      <c r="F356">
        <v>0</v>
      </c>
      <c r="G356">
        <v>0</v>
      </c>
      <c r="H356">
        <v>40</v>
      </c>
      <c r="I356">
        <v>0</v>
      </c>
      <c r="J356">
        <v>0</v>
      </c>
      <c r="K356">
        <v>0</v>
      </c>
    </row>
    <row r="357" spans="1:11">
      <c r="A357" t="s">
        <v>972</v>
      </c>
      <c r="B357">
        <v>0</v>
      </c>
      <c r="C357">
        <v>90</v>
      </c>
      <c r="D357">
        <v>0</v>
      </c>
      <c r="E357">
        <v>0</v>
      </c>
      <c r="F357">
        <v>0</v>
      </c>
      <c r="G357">
        <v>0</v>
      </c>
      <c r="H357">
        <v>0</v>
      </c>
      <c r="I357">
        <v>0</v>
      </c>
      <c r="J357">
        <v>0</v>
      </c>
      <c r="K357">
        <v>0</v>
      </c>
    </row>
    <row r="358" spans="1:11">
      <c r="A358" t="s">
        <v>972</v>
      </c>
      <c r="B358">
        <v>0</v>
      </c>
      <c r="C358">
        <v>0</v>
      </c>
      <c r="D358">
        <v>0</v>
      </c>
      <c r="E358">
        <v>0</v>
      </c>
      <c r="F358">
        <v>0</v>
      </c>
      <c r="G358">
        <v>0</v>
      </c>
      <c r="H358">
        <v>0</v>
      </c>
      <c r="I358">
        <v>0</v>
      </c>
      <c r="J358">
        <v>30</v>
      </c>
      <c r="K358">
        <v>0</v>
      </c>
    </row>
    <row r="359" spans="1:11">
      <c r="A359" t="s">
        <v>972</v>
      </c>
      <c r="B359">
        <v>4</v>
      </c>
      <c r="C359">
        <v>9</v>
      </c>
      <c r="D359">
        <v>0</v>
      </c>
      <c r="E359">
        <v>0</v>
      </c>
      <c r="F359">
        <v>0</v>
      </c>
      <c r="G359">
        <v>0</v>
      </c>
      <c r="H359">
        <v>0</v>
      </c>
      <c r="I359">
        <v>0</v>
      </c>
      <c r="J359">
        <v>0</v>
      </c>
      <c r="K359">
        <v>0</v>
      </c>
    </row>
    <row r="360" spans="1:11">
      <c r="A360" t="s">
        <v>972</v>
      </c>
      <c r="B360">
        <v>5</v>
      </c>
      <c r="C360">
        <v>5</v>
      </c>
      <c r="D360">
        <v>0</v>
      </c>
      <c r="E360">
        <v>0</v>
      </c>
      <c r="F360">
        <v>0</v>
      </c>
      <c r="G360">
        <v>0</v>
      </c>
      <c r="H360">
        <v>0</v>
      </c>
      <c r="I360">
        <v>0</v>
      </c>
      <c r="J360">
        <v>0</v>
      </c>
      <c r="K360">
        <v>0</v>
      </c>
    </row>
    <row r="361" spans="1:11">
      <c r="A361" t="s">
        <v>972</v>
      </c>
      <c r="B361">
        <v>5</v>
      </c>
      <c r="C361">
        <v>10</v>
      </c>
      <c r="D361">
        <v>25</v>
      </c>
      <c r="E361">
        <v>25</v>
      </c>
      <c r="F361">
        <v>25</v>
      </c>
      <c r="G361">
        <v>30</v>
      </c>
      <c r="H361">
        <v>5</v>
      </c>
      <c r="I361">
        <v>10</v>
      </c>
      <c r="J361">
        <v>25</v>
      </c>
      <c r="K361">
        <v>0</v>
      </c>
    </row>
    <row r="362" spans="1:11">
      <c r="A362" t="s">
        <v>972</v>
      </c>
      <c r="B362">
        <v>5</v>
      </c>
      <c r="C362">
        <v>100</v>
      </c>
      <c r="D362">
        <v>100</v>
      </c>
      <c r="E362">
        <v>50</v>
      </c>
      <c r="F362">
        <v>0</v>
      </c>
      <c r="G362">
        <v>0</v>
      </c>
      <c r="H362">
        <v>0</v>
      </c>
      <c r="I362">
        <v>100</v>
      </c>
      <c r="J362">
        <v>0</v>
      </c>
      <c r="K362">
        <v>0</v>
      </c>
    </row>
    <row r="363" spans="1:11">
      <c r="A363" t="s">
        <v>972</v>
      </c>
      <c r="B363">
        <v>5</v>
      </c>
      <c r="C363">
        <v>95</v>
      </c>
      <c r="D363">
        <v>0</v>
      </c>
      <c r="E363">
        <v>0</v>
      </c>
      <c r="F363">
        <v>0</v>
      </c>
      <c r="G363">
        <v>0</v>
      </c>
      <c r="H363">
        <v>5</v>
      </c>
      <c r="I363">
        <v>0</v>
      </c>
      <c r="J363">
        <v>0</v>
      </c>
      <c r="K363">
        <v>0</v>
      </c>
    </row>
    <row r="364" spans="1:11">
      <c r="A364" t="s">
        <v>972</v>
      </c>
      <c r="B364">
        <v>10</v>
      </c>
      <c r="C364">
        <v>0</v>
      </c>
      <c r="D364">
        <v>0</v>
      </c>
      <c r="E364">
        <v>0</v>
      </c>
      <c r="F364">
        <v>0</v>
      </c>
      <c r="G364">
        <v>0</v>
      </c>
      <c r="H364">
        <v>0</v>
      </c>
      <c r="I364">
        <v>0</v>
      </c>
      <c r="J364">
        <v>0</v>
      </c>
      <c r="K364">
        <v>0</v>
      </c>
    </row>
    <row r="365" spans="1:11">
      <c r="A365" t="s">
        <v>972</v>
      </c>
      <c r="B365">
        <v>10</v>
      </c>
      <c r="C365">
        <v>10</v>
      </c>
      <c r="D365">
        <v>0</v>
      </c>
      <c r="E365">
        <v>0</v>
      </c>
      <c r="F365">
        <v>0</v>
      </c>
      <c r="G365">
        <v>2</v>
      </c>
      <c r="H365">
        <v>5</v>
      </c>
      <c r="I365">
        <v>0</v>
      </c>
      <c r="J365">
        <v>0</v>
      </c>
      <c r="K365">
        <v>0</v>
      </c>
    </row>
    <row r="366" spans="1:11">
      <c r="A366" t="s">
        <v>972</v>
      </c>
      <c r="B366">
        <v>20</v>
      </c>
      <c r="C366">
        <v>50</v>
      </c>
      <c r="D366">
        <v>50</v>
      </c>
      <c r="E366">
        <v>50</v>
      </c>
      <c r="F366">
        <v>50</v>
      </c>
      <c r="G366">
        <v>0</v>
      </c>
      <c r="H366">
        <v>0</v>
      </c>
      <c r="I366">
        <v>0</v>
      </c>
      <c r="J366">
        <v>0</v>
      </c>
      <c r="K366">
        <v>0</v>
      </c>
    </row>
    <row r="367" spans="1:11">
      <c r="A367" t="s">
        <v>972</v>
      </c>
      <c r="B367">
        <v>20</v>
      </c>
      <c r="C367">
        <v>80</v>
      </c>
      <c r="D367">
        <v>2</v>
      </c>
      <c r="E367">
        <v>2</v>
      </c>
      <c r="F367">
        <v>3</v>
      </c>
      <c r="G367">
        <v>1</v>
      </c>
      <c r="H367">
        <v>2</v>
      </c>
      <c r="I367">
        <v>1</v>
      </c>
      <c r="J367">
        <v>0</v>
      </c>
      <c r="K367">
        <v>0</v>
      </c>
    </row>
    <row r="368" spans="1:11">
      <c r="A368" t="s">
        <v>972</v>
      </c>
      <c r="B368">
        <v>25</v>
      </c>
      <c r="C368">
        <v>0</v>
      </c>
      <c r="D368">
        <v>0</v>
      </c>
      <c r="E368">
        <v>0</v>
      </c>
      <c r="F368">
        <v>0</v>
      </c>
      <c r="G368">
        <v>0</v>
      </c>
      <c r="H368">
        <v>0</v>
      </c>
      <c r="I368">
        <v>0</v>
      </c>
      <c r="J368">
        <v>0</v>
      </c>
      <c r="K368">
        <v>0</v>
      </c>
    </row>
    <row r="369" spans="1:11">
      <c r="A369" t="s">
        <v>972</v>
      </c>
      <c r="B369">
        <v>25</v>
      </c>
      <c r="C369">
        <v>20</v>
      </c>
      <c r="D369">
        <v>25</v>
      </c>
      <c r="E369">
        <v>0</v>
      </c>
      <c r="F369">
        <v>0</v>
      </c>
      <c r="G369">
        <v>0</v>
      </c>
      <c r="H369">
        <v>0</v>
      </c>
      <c r="I369">
        <v>0</v>
      </c>
      <c r="J369">
        <v>0</v>
      </c>
      <c r="K369">
        <v>0</v>
      </c>
    </row>
    <row r="370" spans="1:11">
      <c r="A370" t="s">
        <v>972</v>
      </c>
      <c r="B370">
        <v>40</v>
      </c>
      <c r="C370">
        <v>40</v>
      </c>
      <c r="D370">
        <v>40</v>
      </c>
      <c r="E370">
        <v>40</v>
      </c>
      <c r="F370">
        <v>0</v>
      </c>
      <c r="G370">
        <v>40</v>
      </c>
      <c r="H370">
        <v>10</v>
      </c>
      <c r="I370">
        <v>40</v>
      </c>
      <c r="J370">
        <v>0</v>
      </c>
      <c r="K370">
        <v>0</v>
      </c>
    </row>
    <row r="371" spans="1:11">
      <c r="A371" t="s">
        <v>972</v>
      </c>
      <c r="B371">
        <v>50</v>
      </c>
      <c r="C371">
        <v>5</v>
      </c>
      <c r="D371">
        <v>5</v>
      </c>
      <c r="E371">
        <v>1</v>
      </c>
      <c r="F371">
        <v>0</v>
      </c>
      <c r="G371">
        <v>1</v>
      </c>
      <c r="H371">
        <v>10</v>
      </c>
      <c r="I371">
        <v>0</v>
      </c>
      <c r="J371">
        <v>0</v>
      </c>
      <c r="K371">
        <v>0</v>
      </c>
    </row>
    <row r="372" spans="1:11">
      <c r="A372" t="s">
        <v>972</v>
      </c>
      <c r="B372">
        <v>50</v>
      </c>
      <c r="C372">
        <v>45</v>
      </c>
      <c r="D372">
        <v>40</v>
      </c>
      <c r="E372">
        <v>45</v>
      </c>
      <c r="F372">
        <v>0</v>
      </c>
      <c r="G372">
        <v>0</v>
      </c>
      <c r="H372">
        <v>6</v>
      </c>
      <c r="I372">
        <v>0</v>
      </c>
      <c r="J372">
        <v>40</v>
      </c>
      <c r="K372">
        <v>0</v>
      </c>
    </row>
    <row r="373" spans="1:11">
      <c r="A373" t="s">
        <v>972</v>
      </c>
      <c r="B373">
        <v>50</v>
      </c>
      <c r="C373">
        <v>25</v>
      </c>
      <c r="D373">
        <v>0</v>
      </c>
      <c r="E373">
        <v>0</v>
      </c>
      <c r="F373">
        <v>0</v>
      </c>
      <c r="G373">
        <v>0</v>
      </c>
      <c r="H373">
        <v>0</v>
      </c>
      <c r="I373">
        <v>0</v>
      </c>
      <c r="J373">
        <v>0</v>
      </c>
      <c r="K373">
        <v>0</v>
      </c>
    </row>
    <row r="374" spans="1:11">
      <c r="A374" t="s">
        <v>972</v>
      </c>
      <c r="B374">
        <v>60</v>
      </c>
      <c r="C374">
        <v>10</v>
      </c>
      <c r="D374">
        <v>10</v>
      </c>
      <c r="E374">
        <v>10</v>
      </c>
      <c r="F374">
        <v>0</v>
      </c>
      <c r="G374">
        <v>0</v>
      </c>
      <c r="H374">
        <v>4</v>
      </c>
      <c r="I374">
        <v>0</v>
      </c>
      <c r="J374">
        <v>0</v>
      </c>
      <c r="K374">
        <v>0</v>
      </c>
    </row>
    <row r="375" spans="1:11">
      <c r="A375" t="s">
        <v>972</v>
      </c>
      <c r="B375">
        <v>60</v>
      </c>
      <c r="C375">
        <v>15</v>
      </c>
      <c r="D375">
        <v>0</v>
      </c>
      <c r="E375">
        <v>0</v>
      </c>
      <c r="F375">
        <v>0</v>
      </c>
      <c r="G375">
        <v>0</v>
      </c>
      <c r="H375">
        <v>3</v>
      </c>
      <c r="I375">
        <v>0</v>
      </c>
      <c r="J375">
        <v>0</v>
      </c>
      <c r="K375">
        <v>0</v>
      </c>
    </row>
    <row r="376" spans="1:11">
      <c r="A376" t="s">
        <v>972</v>
      </c>
      <c r="B376">
        <v>60</v>
      </c>
      <c r="C376">
        <v>60</v>
      </c>
      <c r="D376">
        <v>60</v>
      </c>
      <c r="E376">
        <v>60</v>
      </c>
      <c r="F376">
        <v>10</v>
      </c>
      <c r="G376">
        <v>2</v>
      </c>
      <c r="H376">
        <v>1</v>
      </c>
      <c r="I376">
        <v>60</v>
      </c>
      <c r="J376">
        <v>0</v>
      </c>
      <c r="K376">
        <v>0</v>
      </c>
    </row>
    <row r="377" spans="1:11">
      <c r="A377" t="s">
        <v>972</v>
      </c>
      <c r="B377">
        <v>60</v>
      </c>
      <c r="C377">
        <v>10</v>
      </c>
      <c r="D377">
        <v>10</v>
      </c>
      <c r="E377">
        <v>0</v>
      </c>
      <c r="F377">
        <v>60</v>
      </c>
      <c r="G377">
        <v>0</v>
      </c>
      <c r="H377">
        <v>40</v>
      </c>
      <c r="I377">
        <v>0</v>
      </c>
      <c r="J377">
        <v>20</v>
      </c>
      <c r="K377">
        <v>0</v>
      </c>
    </row>
    <row r="378" spans="1:11">
      <c r="A378" t="s">
        <v>972</v>
      </c>
      <c r="B378">
        <v>60</v>
      </c>
      <c r="C378">
        <v>20</v>
      </c>
      <c r="D378">
        <v>20</v>
      </c>
      <c r="E378">
        <v>20</v>
      </c>
      <c r="F378">
        <v>0</v>
      </c>
      <c r="G378">
        <v>0</v>
      </c>
      <c r="H378">
        <v>0</v>
      </c>
      <c r="I378">
        <v>0</v>
      </c>
      <c r="J378">
        <v>0</v>
      </c>
      <c r="K378">
        <v>0</v>
      </c>
    </row>
    <row r="379" spans="1:11">
      <c r="A379" t="s">
        <v>972</v>
      </c>
      <c r="B379">
        <v>70</v>
      </c>
    </row>
    <row r="380" spans="1:11">
      <c r="A380" t="s">
        <v>972</v>
      </c>
      <c r="B380">
        <v>75</v>
      </c>
      <c r="C380">
        <v>75</v>
      </c>
      <c r="D380">
        <v>0</v>
      </c>
      <c r="E380">
        <v>0</v>
      </c>
      <c r="F380">
        <v>0</v>
      </c>
      <c r="G380">
        <v>0</v>
      </c>
      <c r="H380">
        <v>0</v>
      </c>
      <c r="I380">
        <v>0</v>
      </c>
      <c r="J380">
        <v>0</v>
      </c>
      <c r="K380">
        <v>0</v>
      </c>
    </row>
    <row r="381" spans="1:11">
      <c r="A381" t="s">
        <v>972</v>
      </c>
      <c r="B381">
        <v>80</v>
      </c>
      <c r="C381">
        <v>50</v>
      </c>
      <c r="D381">
        <v>0</v>
      </c>
      <c r="E381">
        <v>0</v>
      </c>
      <c r="F381">
        <v>50</v>
      </c>
      <c r="G381">
        <v>0</v>
      </c>
      <c r="H381">
        <v>0</v>
      </c>
      <c r="I381">
        <v>0</v>
      </c>
      <c r="J381">
        <v>0</v>
      </c>
      <c r="K381">
        <v>0</v>
      </c>
    </row>
    <row r="382" spans="1:11">
      <c r="A382" t="s">
        <v>972</v>
      </c>
      <c r="B382">
        <v>80</v>
      </c>
      <c r="C382">
        <v>0</v>
      </c>
      <c r="D382">
        <v>0</v>
      </c>
      <c r="E382">
        <v>0</v>
      </c>
      <c r="F382">
        <v>0</v>
      </c>
      <c r="G382">
        <v>0</v>
      </c>
      <c r="H382">
        <v>0</v>
      </c>
      <c r="I382">
        <v>0</v>
      </c>
      <c r="J382">
        <v>0</v>
      </c>
      <c r="K382">
        <v>80</v>
      </c>
    </row>
    <row r="383" spans="1:11">
      <c r="A383" t="s">
        <v>972</v>
      </c>
      <c r="B383">
        <v>90</v>
      </c>
      <c r="C383">
        <v>80</v>
      </c>
      <c r="D383">
        <v>0</v>
      </c>
      <c r="E383">
        <v>0</v>
      </c>
      <c r="F383">
        <v>0</v>
      </c>
      <c r="G383">
        <v>0</v>
      </c>
      <c r="H383">
        <v>0</v>
      </c>
      <c r="I383">
        <v>0</v>
      </c>
      <c r="J383">
        <v>0</v>
      </c>
      <c r="K383">
        <v>0</v>
      </c>
    </row>
    <row r="384" spans="1:11">
      <c r="A384" t="s">
        <v>972</v>
      </c>
      <c r="B384">
        <v>90</v>
      </c>
      <c r="C384">
        <v>0</v>
      </c>
      <c r="D384">
        <v>75</v>
      </c>
      <c r="E384">
        <v>75</v>
      </c>
      <c r="F384">
        <v>0</v>
      </c>
      <c r="G384">
        <v>0</v>
      </c>
      <c r="H384">
        <v>50</v>
      </c>
      <c r="I384">
        <v>0</v>
      </c>
      <c r="J384">
        <v>0</v>
      </c>
      <c r="K384">
        <v>0</v>
      </c>
    </row>
    <row r="385" spans="1:11">
      <c r="A385" t="s">
        <v>972</v>
      </c>
      <c r="B385">
        <v>90</v>
      </c>
      <c r="C385">
        <v>75</v>
      </c>
      <c r="D385">
        <v>40</v>
      </c>
      <c r="E385">
        <v>30</v>
      </c>
      <c r="F385">
        <v>30</v>
      </c>
      <c r="G385">
        <v>20</v>
      </c>
      <c r="H385">
        <v>20</v>
      </c>
      <c r="I385">
        <v>20</v>
      </c>
      <c r="J385">
        <v>20</v>
      </c>
      <c r="K385">
        <v>10</v>
      </c>
    </row>
    <row r="386" spans="1:11">
      <c r="A386" t="s">
        <v>972</v>
      </c>
      <c r="B386">
        <v>90</v>
      </c>
      <c r="C386">
        <v>0</v>
      </c>
      <c r="D386">
        <v>80</v>
      </c>
      <c r="E386">
        <v>80</v>
      </c>
      <c r="F386">
        <v>0</v>
      </c>
      <c r="G386">
        <v>10</v>
      </c>
      <c r="H386">
        <v>2</v>
      </c>
      <c r="I386">
        <v>80</v>
      </c>
      <c r="J386">
        <v>40</v>
      </c>
      <c r="K386">
        <v>0</v>
      </c>
    </row>
    <row r="387" spans="1:11">
      <c r="A387" t="s">
        <v>972</v>
      </c>
      <c r="B387">
        <v>95</v>
      </c>
      <c r="C387">
        <v>25</v>
      </c>
      <c r="D387">
        <v>0</v>
      </c>
      <c r="E387">
        <v>0</v>
      </c>
      <c r="F387">
        <v>0</v>
      </c>
      <c r="G387">
        <v>0</v>
      </c>
      <c r="H387">
        <v>0</v>
      </c>
      <c r="I387">
        <v>0</v>
      </c>
      <c r="J387">
        <v>0</v>
      </c>
      <c r="K387">
        <v>0</v>
      </c>
    </row>
    <row r="388" spans="1:11">
      <c r="A388" t="s">
        <v>972</v>
      </c>
      <c r="B388">
        <v>95</v>
      </c>
      <c r="C388">
        <v>95</v>
      </c>
      <c r="D388">
        <v>95</v>
      </c>
      <c r="E388">
        <v>95</v>
      </c>
      <c r="F388">
        <v>0</v>
      </c>
      <c r="G388">
        <v>0</v>
      </c>
      <c r="H388">
        <v>0</v>
      </c>
      <c r="I388">
        <v>0</v>
      </c>
      <c r="J388">
        <v>0</v>
      </c>
      <c r="K388">
        <v>0</v>
      </c>
    </row>
    <row r="389" spans="1:11">
      <c r="A389" t="s">
        <v>972</v>
      </c>
      <c r="B389">
        <v>95</v>
      </c>
      <c r="C389">
        <v>85</v>
      </c>
      <c r="D389">
        <v>85</v>
      </c>
      <c r="E389">
        <v>85</v>
      </c>
      <c r="F389">
        <v>85</v>
      </c>
      <c r="G389">
        <v>5</v>
      </c>
      <c r="H389">
        <v>5</v>
      </c>
      <c r="I389">
        <v>20</v>
      </c>
      <c r="J389">
        <v>0</v>
      </c>
      <c r="K389">
        <v>0</v>
      </c>
    </row>
    <row r="390" spans="1:11">
      <c r="A390" t="s">
        <v>972</v>
      </c>
      <c r="B390">
        <v>95</v>
      </c>
      <c r="C390">
        <v>95</v>
      </c>
      <c r="D390">
        <v>50</v>
      </c>
      <c r="E390">
        <v>50</v>
      </c>
      <c r="F390">
        <v>95</v>
      </c>
      <c r="G390">
        <v>5</v>
      </c>
      <c r="H390">
        <v>10</v>
      </c>
      <c r="I390">
        <v>0</v>
      </c>
      <c r="J390">
        <v>0</v>
      </c>
      <c r="K390">
        <v>0</v>
      </c>
    </row>
    <row r="391" spans="1:11">
      <c r="A391" t="s">
        <v>972</v>
      </c>
      <c r="B391">
        <v>95</v>
      </c>
      <c r="C391">
        <v>65</v>
      </c>
      <c r="D391">
        <v>40</v>
      </c>
      <c r="E391">
        <v>40</v>
      </c>
      <c r="F391">
        <v>0</v>
      </c>
      <c r="G391">
        <v>0</v>
      </c>
      <c r="H391">
        <v>0</v>
      </c>
      <c r="I391">
        <v>50</v>
      </c>
      <c r="J391">
        <v>0</v>
      </c>
      <c r="K391">
        <v>0</v>
      </c>
    </row>
    <row r="392" spans="1:11">
      <c r="A392" t="s">
        <v>972</v>
      </c>
      <c r="B392">
        <v>98</v>
      </c>
      <c r="C392">
        <v>95</v>
      </c>
      <c r="D392">
        <v>25</v>
      </c>
      <c r="E392">
        <v>25</v>
      </c>
      <c r="F392">
        <v>0</v>
      </c>
      <c r="G392">
        <v>10</v>
      </c>
      <c r="H392">
        <v>15</v>
      </c>
      <c r="I392">
        <v>95</v>
      </c>
      <c r="J392">
        <v>0</v>
      </c>
      <c r="K392">
        <v>0</v>
      </c>
    </row>
    <row r="393" spans="1:11">
      <c r="A393" t="s">
        <v>972</v>
      </c>
      <c r="B393">
        <v>100</v>
      </c>
      <c r="C393">
        <v>100</v>
      </c>
      <c r="D393">
        <v>100</v>
      </c>
      <c r="E393">
        <v>50</v>
      </c>
      <c r="F393">
        <v>0</v>
      </c>
      <c r="G393">
        <v>50</v>
      </c>
      <c r="H393">
        <v>100</v>
      </c>
      <c r="I393">
        <v>100</v>
      </c>
      <c r="J393">
        <v>100</v>
      </c>
      <c r="K393">
        <v>0</v>
      </c>
    </row>
    <row r="394" spans="1:11">
      <c r="A394" t="s">
        <v>972</v>
      </c>
      <c r="B394">
        <v>100</v>
      </c>
      <c r="C394">
        <v>100</v>
      </c>
      <c r="D394">
        <v>0</v>
      </c>
      <c r="E394">
        <v>0</v>
      </c>
      <c r="F394">
        <v>0</v>
      </c>
      <c r="G394">
        <v>0</v>
      </c>
      <c r="H394">
        <v>0</v>
      </c>
      <c r="I394">
        <v>0</v>
      </c>
      <c r="J394">
        <v>0</v>
      </c>
      <c r="K394">
        <v>0</v>
      </c>
    </row>
    <row r="395" spans="1:11">
      <c r="A395" t="s">
        <v>972</v>
      </c>
      <c r="B395">
        <v>100</v>
      </c>
      <c r="C395">
        <v>20</v>
      </c>
      <c r="D395">
        <v>0</v>
      </c>
      <c r="E395">
        <v>0</v>
      </c>
      <c r="F395">
        <v>0</v>
      </c>
      <c r="G395">
        <v>0</v>
      </c>
      <c r="H395">
        <v>0</v>
      </c>
      <c r="I395">
        <v>0</v>
      </c>
      <c r="J395">
        <v>0</v>
      </c>
      <c r="K395">
        <v>0</v>
      </c>
    </row>
    <row r="396" spans="1:11">
      <c r="A396" t="s">
        <v>972</v>
      </c>
      <c r="B396">
        <v>100</v>
      </c>
      <c r="C396">
        <v>0</v>
      </c>
      <c r="D396">
        <v>0</v>
      </c>
      <c r="E396">
        <v>0</v>
      </c>
      <c r="F396">
        <v>0</v>
      </c>
      <c r="G396">
        <v>0</v>
      </c>
      <c r="H396">
        <v>0</v>
      </c>
      <c r="I396">
        <v>0</v>
      </c>
      <c r="J396">
        <v>0</v>
      </c>
      <c r="K396">
        <v>0</v>
      </c>
    </row>
    <row r="397" spans="1:11">
      <c r="A397" t="s">
        <v>972</v>
      </c>
      <c r="B397">
        <v>100</v>
      </c>
      <c r="C397">
        <v>100</v>
      </c>
      <c r="D397">
        <v>10</v>
      </c>
      <c r="E397">
        <v>10</v>
      </c>
      <c r="F397">
        <v>0</v>
      </c>
      <c r="G397">
        <v>0</v>
      </c>
      <c r="H397">
        <v>0</v>
      </c>
      <c r="I397">
        <v>100</v>
      </c>
      <c r="J397">
        <v>0</v>
      </c>
      <c r="K397">
        <v>0</v>
      </c>
    </row>
    <row r="398" spans="1:11">
      <c r="A398" t="s">
        <v>972</v>
      </c>
      <c r="B398">
        <v>100</v>
      </c>
      <c r="C398">
        <v>0</v>
      </c>
      <c r="D398">
        <v>0</v>
      </c>
      <c r="E398">
        <v>0</v>
      </c>
      <c r="F398">
        <v>0</v>
      </c>
      <c r="G398">
        <v>0</v>
      </c>
      <c r="H398">
        <v>99</v>
      </c>
      <c r="I398">
        <v>0</v>
      </c>
      <c r="J398">
        <v>0</v>
      </c>
      <c r="K398">
        <v>0</v>
      </c>
    </row>
    <row r="399" spans="1:11">
      <c r="A399" t="s">
        <v>972</v>
      </c>
      <c r="B399">
        <v>100</v>
      </c>
      <c r="C399">
        <v>100</v>
      </c>
      <c r="D399">
        <v>50</v>
      </c>
      <c r="E399">
        <v>50</v>
      </c>
      <c r="F399">
        <v>0</v>
      </c>
      <c r="G399">
        <v>0</v>
      </c>
      <c r="H399">
        <v>5</v>
      </c>
      <c r="I399">
        <v>0</v>
      </c>
      <c r="J399">
        <v>0</v>
      </c>
      <c r="K399">
        <v>0</v>
      </c>
    </row>
    <row r="400" spans="1:11">
      <c r="A400" t="s">
        <v>972</v>
      </c>
      <c r="B400">
        <v>100</v>
      </c>
      <c r="C400">
        <v>70</v>
      </c>
      <c r="D400">
        <v>70</v>
      </c>
      <c r="E400">
        <v>70</v>
      </c>
      <c r="F400">
        <v>70</v>
      </c>
      <c r="G400">
        <v>70</v>
      </c>
      <c r="H400">
        <v>0</v>
      </c>
      <c r="I400">
        <v>0</v>
      </c>
      <c r="J400">
        <v>0</v>
      </c>
      <c r="K400">
        <v>0</v>
      </c>
    </row>
    <row r="401" spans="1:11">
      <c r="A401" t="s">
        <v>972</v>
      </c>
      <c r="B401">
        <v>100</v>
      </c>
      <c r="C401">
        <v>10</v>
      </c>
      <c r="D401">
        <v>0</v>
      </c>
      <c r="E401">
        <v>0</v>
      </c>
      <c r="F401">
        <v>0</v>
      </c>
      <c r="G401">
        <v>0</v>
      </c>
      <c r="H401">
        <v>0</v>
      </c>
      <c r="I401">
        <v>0</v>
      </c>
      <c r="J401">
        <v>0</v>
      </c>
      <c r="K401">
        <v>0</v>
      </c>
    </row>
    <row r="402" spans="1:11">
      <c r="B402" s="39">
        <f>(SUM(B349:B401)/53)</f>
        <v>52.113207547169814</v>
      </c>
      <c r="C402" s="39">
        <f t="shared" ref="C402:K402" si="8">(SUM(C349:C401)/53)</f>
        <v>42.490566037735846</v>
      </c>
      <c r="D402" s="39">
        <f t="shared" si="8"/>
        <v>20.943396226415093</v>
      </c>
      <c r="E402" s="39">
        <f t="shared" si="8"/>
        <v>18.226415094339622</v>
      </c>
      <c r="F402" s="39">
        <f t="shared" si="8"/>
        <v>9.0754716981132084</v>
      </c>
      <c r="G402" s="39">
        <f t="shared" si="8"/>
        <v>5.5849056603773581</v>
      </c>
      <c r="H402" s="39">
        <f t="shared" si="8"/>
        <v>9.1886792452830193</v>
      </c>
      <c r="I402" s="39">
        <f t="shared" si="8"/>
        <v>12.754716981132075</v>
      </c>
      <c r="J402" s="39">
        <f t="shared" si="8"/>
        <v>5.1886792452830193</v>
      </c>
      <c r="K402" s="39">
        <f t="shared" si="8"/>
        <v>3.4905660377358489</v>
      </c>
    </row>
    <row r="405" spans="1:11">
      <c r="A405" t="s">
        <v>954</v>
      </c>
      <c r="B405">
        <v>0</v>
      </c>
      <c r="C405">
        <v>100</v>
      </c>
      <c r="D405">
        <v>98</v>
      </c>
      <c r="E405">
        <v>12</v>
      </c>
      <c r="F405">
        <v>0</v>
      </c>
      <c r="G405">
        <v>0</v>
      </c>
      <c r="H405">
        <v>0</v>
      </c>
      <c r="I405">
        <v>100</v>
      </c>
      <c r="J405">
        <v>0</v>
      </c>
      <c r="K405">
        <v>0</v>
      </c>
    </row>
    <row r="406" spans="1:11">
      <c r="A406" t="s">
        <v>954</v>
      </c>
      <c r="B406">
        <v>28</v>
      </c>
      <c r="C406">
        <v>5</v>
      </c>
      <c r="D406">
        <v>2</v>
      </c>
      <c r="E406">
        <v>3</v>
      </c>
      <c r="F406">
        <v>0</v>
      </c>
      <c r="G406">
        <v>0</v>
      </c>
      <c r="H406">
        <v>2</v>
      </c>
      <c r="I406">
        <v>1</v>
      </c>
      <c r="J406">
        <v>0</v>
      </c>
      <c r="K406">
        <v>0</v>
      </c>
    </row>
    <row r="407" spans="1:11">
      <c r="A407" t="s">
        <v>954</v>
      </c>
      <c r="B407">
        <v>80</v>
      </c>
      <c r="C407">
        <v>50</v>
      </c>
      <c r="D407">
        <v>0</v>
      </c>
      <c r="E407">
        <v>5</v>
      </c>
      <c r="F407">
        <v>0</v>
      </c>
      <c r="G407">
        <v>5</v>
      </c>
      <c r="H407">
        <v>5</v>
      </c>
      <c r="I407">
        <v>0</v>
      </c>
      <c r="J407">
        <v>0</v>
      </c>
      <c r="K407">
        <v>0</v>
      </c>
    </row>
    <row r="408" spans="1:11">
      <c r="A408" t="s">
        <v>954</v>
      </c>
      <c r="B408">
        <v>100</v>
      </c>
      <c r="C408">
        <v>10</v>
      </c>
      <c r="D408">
        <v>2</v>
      </c>
      <c r="E408">
        <v>2</v>
      </c>
      <c r="F408">
        <v>0</v>
      </c>
      <c r="G408">
        <v>2</v>
      </c>
      <c r="H408">
        <v>2</v>
      </c>
      <c r="I408">
        <v>58</v>
      </c>
      <c r="J408">
        <v>10</v>
      </c>
      <c r="K408">
        <v>0</v>
      </c>
    </row>
    <row r="409" spans="1:11">
      <c r="B409" s="39">
        <f>(SUM(B405:B408)/4)</f>
        <v>52</v>
      </c>
      <c r="C409" s="39">
        <f t="shared" ref="C409:K409" si="9">(SUM(C405:C408)/4)</f>
        <v>41.25</v>
      </c>
      <c r="D409" s="39">
        <f t="shared" si="9"/>
        <v>25.5</v>
      </c>
      <c r="E409" s="39">
        <f t="shared" si="9"/>
        <v>5.5</v>
      </c>
      <c r="F409" s="39">
        <f t="shared" si="9"/>
        <v>0</v>
      </c>
      <c r="G409" s="39">
        <f t="shared" si="9"/>
        <v>1.75</v>
      </c>
      <c r="H409" s="39">
        <f t="shared" si="9"/>
        <v>2.25</v>
      </c>
      <c r="I409" s="39">
        <f t="shared" si="9"/>
        <v>39.75</v>
      </c>
      <c r="J409" s="39">
        <f t="shared" si="9"/>
        <v>2.5</v>
      </c>
      <c r="K409" s="39">
        <f t="shared" si="9"/>
        <v>0</v>
      </c>
    </row>
  </sheetData>
  <sortState ref="A311:K399">
    <sortCondition ref="A311:A399"/>
  </sortState>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J105"/>
  <sheetViews>
    <sheetView workbookViewId="0"/>
  </sheetViews>
  <sheetFormatPr defaultRowHeight="14.4"/>
  <cols>
    <col min="1" max="1" width="12.6640625" customWidth="1"/>
  </cols>
  <sheetData>
    <row r="1" spans="1:10">
      <c r="A1" s="3" t="s">
        <v>1420</v>
      </c>
    </row>
    <row r="3" spans="1:10">
      <c r="A3" t="s">
        <v>974</v>
      </c>
      <c r="B3" t="s">
        <v>519</v>
      </c>
      <c r="E3" t="s">
        <v>1247</v>
      </c>
    </row>
    <row r="4" spans="1:10">
      <c r="A4" t="s">
        <v>974</v>
      </c>
      <c r="B4" t="s">
        <v>488</v>
      </c>
    </row>
    <row r="5" spans="1:10">
      <c r="A5" t="s">
        <v>974</v>
      </c>
      <c r="B5" t="s">
        <v>488</v>
      </c>
      <c r="E5" t="s">
        <v>1024</v>
      </c>
      <c r="F5">
        <v>33</v>
      </c>
    </row>
    <row r="6" spans="1:10">
      <c r="A6" t="s">
        <v>974</v>
      </c>
      <c r="B6" t="s">
        <v>488</v>
      </c>
      <c r="E6" t="s">
        <v>1025</v>
      </c>
      <c r="F6">
        <v>68</v>
      </c>
    </row>
    <row r="7" spans="1:10">
      <c r="A7" t="s">
        <v>974</v>
      </c>
      <c r="B7" t="s">
        <v>488</v>
      </c>
      <c r="F7" s="3">
        <f>SUM(F5:F6)</f>
        <v>101</v>
      </c>
    </row>
    <row r="8" spans="1:10">
      <c r="A8" t="s">
        <v>974</v>
      </c>
      <c r="B8" t="s">
        <v>488</v>
      </c>
      <c r="E8" t="s">
        <v>1026</v>
      </c>
      <c r="F8">
        <v>2</v>
      </c>
    </row>
    <row r="9" spans="1:10">
      <c r="A9" t="s">
        <v>974</v>
      </c>
      <c r="B9" t="s">
        <v>488</v>
      </c>
    </row>
    <row r="10" spans="1:10">
      <c r="A10" t="s">
        <v>974</v>
      </c>
      <c r="B10" t="s">
        <v>488</v>
      </c>
      <c r="E10" t="s">
        <v>1095</v>
      </c>
    </row>
    <row r="11" spans="1:10">
      <c r="A11" t="s">
        <v>974</v>
      </c>
      <c r="B11" t="s">
        <v>488</v>
      </c>
      <c r="F11" t="s">
        <v>1098</v>
      </c>
      <c r="G11" t="s">
        <v>1099</v>
      </c>
      <c r="H11" t="s">
        <v>1100</v>
      </c>
      <c r="I11" t="s">
        <v>1101</v>
      </c>
    </row>
    <row r="12" spans="1:10">
      <c r="A12" t="s">
        <v>974</v>
      </c>
      <c r="B12" t="s">
        <v>488</v>
      </c>
      <c r="E12" t="s">
        <v>1024</v>
      </c>
      <c r="F12">
        <v>10</v>
      </c>
      <c r="G12">
        <v>4</v>
      </c>
      <c r="H12">
        <v>15</v>
      </c>
      <c r="I12">
        <v>4</v>
      </c>
    </row>
    <row r="13" spans="1:10">
      <c r="A13" t="s">
        <v>974</v>
      </c>
      <c r="B13" t="s">
        <v>488</v>
      </c>
      <c r="E13" t="s">
        <v>1025</v>
      </c>
      <c r="F13">
        <v>19</v>
      </c>
      <c r="G13">
        <v>3</v>
      </c>
      <c r="H13">
        <v>45</v>
      </c>
      <c r="I13">
        <v>1</v>
      </c>
    </row>
    <row r="14" spans="1:10">
      <c r="A14" t="s">
        <v>974</v>
      </c>
      <c r="B14" t="s">
        <v>488</v>
      </c>
      <c r="E14" t="s">
        <v>1026</v>
      </c>
      <c r="F14">
        <v>1</v>
      </c>
      <c r="G14">
        <v>0</v>
      </c>
      <c r="H14">
        <v>1</v>
      </c>
    </row>
    <row r="15" spans="1:10">
      <c r="A15" t="s">
        <v>974</v>
      </c>
      <c r="B15" t="s">
        <v>488</v>
      </c>
      <c r="F15" s="3">
        <f>SUM(F12:F14)</f>
        <v>30</v>
      </c>
      <c r="G15" s="3">
        <f>SUM(G12:G14)</f>
        <v>7</v>
      </c>
      <c r="H15" s="3">
        <f>SUM(H12:H14)</f>
        <v>61</v>
      </c>
      <c r="I15" s="3">
        <f>SUM(I12:I14)</f>
        <v>5</v>
      </c>
      <c r="J15" s="3">
        <f>SUM(F15:I15)</f>
        <v>103</v>
      </c>
    </row>
    <row r="16" spans="1:10">
      <c r="A16" t="s">
        <v>974</v>
      </c>
      <c r="B16" t="s">
        <v>488</v>
      </c>
    </row>
    <row r="17" spans="1:10">
      <c r="A17" t="s">
        <v>974</v>
      </c>
      <c r="B17" t="s">
        <v>488</v>
      </c>
    </row>
    <row r="18" spans="1:10">
      <c r="A18" t="s">
        <v>974</v>
      </c>
      <c r="B18" t="s">
        <v>488</v>
      </c>
      <c r="E18" t="s">
        <v>1095</v>
      </c>
    </row>
    <row r="19" spans="1:10">
      <c r="A19" t="s">
        <v>974</v>
      </c>
      <c r="B19" t="s">
        <v>488</v>
      </c>
    </row>
    <row r="20" spans="1:10">
      <c r="A20" t="s">
        <v>974</v>
      </c>
      <c r="B20" t="s">
        <v>488</v>
      </c>
      <c r="E20" t="s">
        <v>1249</v>
      </c>
      <c r="F20" s="25">
        <f>15/60</f>
        <v>0.25</v>
      </c>
    </row>
    <row r="21" spans="1:10">
      <c r="A21" t="s">
        <v>974</v>
      </c>
      <c r="B21" t="s">
        <v>488</v>
      </c>
      <c r="E21" t="s">
        <v>1248</v>
      </c>
      <c r="F21" s="25">
        <f>10/29</f>
        <v>0.34482758620689657</v>
      </c>
    </row>
    <row r="22" spans="1:10">
      <c r="A22" t="s">
        <v>974</v>
      </c>
      <c r="B22" t="s">
        <v>488</v>
      </c>
      <c r="E22" t="s">
        <v>1099</v>
      </c>
      <c r="F22" s="25">
        <f>4/7</f>
        <v>0.5714285714285714</v>
      </c>
    </row>
    <row r="23" spans="1:10">
      <c r="A23" t="s">
        <v>974</v>
      </c>
      <c r="B23" t="s">
        <v>487</v>
      </c>
      <c r="E23" t="s">
        <v>1101</v>
      </c>
      <c r="F23" s="25">
        <f>4/5</f>
        <v>0.8</v>
      </c>
      <c r="G23" s="3"/>
      <c r="H23" s="3"/>
      <c r="I23" s="3"/>
      <c r="J23" s="3"/>
    </row>
    <row r="24" spans="1:10">
      <c r="A24" t="s">
        <v>974</v>
      </c>
      <c r="B24" t="s">
        <v>487</v>
      </c>
    </row>
    <row r="25" spans="1:10">
      <c r="A25" t="s">
        <v>974</v>
      </c>
      <c r="B25" t="s">
        <v>487</v>
      </c>
    </row>
    <row r="26" spans="1:10">
      <c r="A26" t="s">
        <v>974</v>
      </c>
      <c r="B26" t="s">
        <v>487</v>
      </c>
    </row>
    <row r="27" spans="1:10">
      <c r="A27" t="s">
        <v>974</v>
      </c>
      <c r="B27" t="s">
        <v>487</v>
      </c>
    </row>
    <row r="28" spans="1:10">
      <c r="A28" t="s">
        <v>974</v>
      </c>
      <c r="B28" t="s">
        <v>487</v>
      </c>
    </row>
    <row r="29" spans="1:10">
      <c r="A29" t="s">
        <v>974</v>
      </c>
      <c r="B29" t="s">
        <v>487</v>
      </c>
    </row>
    <row r="30" spans="1:10">
      <c r="A30" t="s">
        <v>974</v>
      </c>
      <c r="B30" t="s">
        <v>487</v>
      </c>
    </row>
    <row r="31" spans="1:10">
      <c r="A31" t="s">
        <v>974</v>
      </c>
      <c r="B31" t="s">
        <v>487</v>
      </c>
    </row>
    <row r="32" spans="1:10">
      <c r="A32" t="s">
        <v>974</v>
      </c>
      <c r="B32" t="s">
        <v>487</v>
      </c>
    </row>
    <row r="33" spans="1:2">
      <c r="A33" t="s">
        <v>973</v>
      </c>
      <c r="B33" t="s">
        <v>488</v>
      </c>
    </row>
    <row r="34" spans="1:2">
      <c r="A34" t="s">
        <v>973</v>
      </c>
      <c r="B34" t="s">
        <v>488</v>
      </c>
    </row>
    <row r="35" spans="1:2">
      <c r="A35" t="s">
        <v>973</v>
      </c>
      <c r="B35" t="s">
        <v>488</v>
      </c>
    </row>
    <row r="36" spans="1:2">
      <c r="A36" t="s">
        <v>973</v>
      </c>
      <c r="B36" t="s">
        <v>487</v>
      </c>
    </row>
    <row r="37" spans="1:2">
      <c r="A37" t="s">
        <v>973</v>
      </c>
      <c r="B37" t="s">
        <v>487</v>
      </c>
    </row>
    <row r="38" spans="1:2">
      <c r="A38" t="s">
        <v>973</v>
      </c>
      <c r="B38" t="s">
        <v>487</v>
      </c>
    </row>
    <row r="39" spans="1:2">
      <c r="A39" t="s">
        <v>973</v>
      </c>
      <c r="B39" t="s">
        <v>487</v>
      </c>
    </row>
    <row r="40" spans="1:2">
      <c r="A40" t="s">
        <v>972</v>
      </c>
      <c r="B40" t="s">
        <v>519</v>
      </c>
    </row>
    <row r="41" spans="1:2">
      <c r="A41" t="s">
        <v>972</v>
      </c>
      <c r="B41" t="s">
        <v>488</v>
      </c>
    </row>
    <row r="42" spans="1:2">
      <c r="A42" t="s">
        <v>972</v>
      </c>
      <c r="B42" t="s">
        <v>488</v>
      </c>
    </row>
    <row r="43" spans="1:2">
      <c r="A43" t="s">
        <v>972</v>
      </c>
      <c r="B43" t="s">
        <v>488</v>
      </c>
    </row>
    <row r="44" spans="1:2">
      <c r="A44" t="s">
        <v>972</v>
      </c>
      <c r="B44" t="s">
        <v>488</v>
      </c>
    </row>
    <row r="45" spans="1:2">
      <c r="A45" t="s">
        <v>972</v>
      </c>
      <c r="B45" t="s">
        <v>488</v>
      </c>
    </row>
    <row r="46" spans="1:2">
      <c r="A46" t="s">
        <v>972</v>
      </c>
      <c r="B46" t="s">
        <v>488</v>
      </c>
    </row>
    <row r="47" spans="1:2">
      <c r="A47" t="s">
        <v>972</v>
      </c>
      <c r="B47" t="s">
        <v>488</v>
      </c>
    </row>
    <row r="48" spans="1:2">
      <c r="A48" t="s">
        <v>972</v>
      </c>
      <c r="B48" t="s">
        <v>488</v>
      </c>
    </row>
    <row r="49" spans="1:2">
      <c r="A49" t="s">
        <v>972</v>
      </c>
      <c r="B49" t="s">
        <v>488</v>
      </c>
    </row>
    <row r="50" spans="1:2">
      <c r="A50" t="s">
        <v>972</v>
      </c>
      <c r="B50" t="s">
        <v>488</v>
      </c>
    </row>
    <row r="51" spans="1:2">
      <c r="A51" t="s">
        <v>972</v>
      </c>
      <c r="B51" t="s">
        <v>488</v>
      </c>
    </row>
    <row r="52" spans="1:2">
      <c r="A52" t="s">
        <v>972</v>
      </c>
      <c r="B52" t="s">
        <v>488</v>
      </c>
    </row>
    <row r="53" spans="1:2">
      <c r="A53" t="s">
        <v>972</v>
      </c>
      <c r="B53" t="s">
        <v>488</v>
      </c>
    </row>
    <row r="54" spans="1:2">
      <c r="A54" t="s">
        <v>972</v>
      </c>
      <c r="B54" t="s">
        <v>488</v>
      </c>
    </row>
    <row r="55" spans="1:2">
      <c r="A55" t="s">
        <v>972</v>
      </c>
      <c r="B55" t="s">
        <v>488</v>
      </c>
    </row>
    <row r="56" spans="1:2">
      <c r="A56" t="s">
        <v>972</v>
      </c>
      <c r="B56" t="s">
        <v>488</v>
      </c>
    </row>
    <row r="57" spans="1:2">
      <c r="A57" t="s">
        <v>972</v>
      </c>
      <c r="B57" t="s">
        <v>488</v>
      </c>
    </row>
    <row r="58" spans="1:2">
      <c r="A58" t="s">
        <v>972</v>
      </c>
      <c r="B58" t="s">
        <v>488</v>
      </c>
    </row>
    <row r="59" spans="1:2">
      <c r="A59" t="s">
        <v>972</v>
      </c>
      <c r="B59" t="s">
        <v>488</v>
      </c>
    </row>
    <row r="60" spans="1:2">
      <c r="A60" t="s">
        <v>972</v>
      </c>
      <c r="B60" t="s">
        <v>488</v>
      </c>
    </row>
    <row r="61" spans="1:2">
      <c r="A61" t="s">
        <v>972</v>
      </c>
      <c r="B61" t="s">
        <v>488</v>
      </c>
    </row>
    <row r="62" spans="1:2">
      <c r="A62" t="s">
        <v>972</v>
      </c>
      <c r="B62" t="s">
        <v>488</v>
      </c>
    </row>
    <row r="63" spans="1:2">
      <c r="A63" t="s">
        <v>972</v>
      </c>
      <c r="B63" t="s">
        <v>488</v>
      </c>
    </row>
    <row r="64" spans="1:2">
      <c r="A64" t="s">
        <v>972</v>
      </c>
      <c r="B64" t="s">
        <v>488</v>
      </c>
    </row>
    <row r="65" spans="1:2">
      <c r="A65" t="s">
        <v>972</v>
      </c>
      <c r="B65" t="s">
        <v>488</v>
      </c>
    </row>
    <row r="66" spans="1:2">
      <c r="A66" t="s">
        <v>972</v>
      </c>
      <c r="B66" t="s">
        <v>488</v>
      </c>
    </row>
    <row r="67" spans="1:2">
      <c r="A67" t="s">
        <v>972</v>
      </c>
      <c r="B67" t="s">
        <v>488</v>
      </c>
    </row>
    <row r="68" spans="1:2">
      <c r="A68" t="s">
        <v>972</v>
      </c>
      <c r="B68" t="s">
        <v>488</v>
      </c>
    </row>
    <row r="69" spans="1:2">
      <c r="A69" t="s">
        <v>972</v>
      </c>
      <c r="B69" t="s">
        <v>488</v>
      </c>
    </row>
    <row r="70" spans="1:2">
      <c r="A70" t="s">
        <v>972</v>
      </c>
      <c r="B70" t="s">
        <v>488</v>
      </c>
    </row>
    <row r="71" spans="1:2">
      <c r="A71" t="s">
        <v>972</v>
      </c>
      <c r="B71" t="s">
        <v>488</v>
      </c>
    </row>
    <row r="72" spans="1:2">
      <c r="A72" t="s">
        <v>972</v>
      </c>
      <c r="B72" t="s">
        <v>488</v>
      </c>
    </row>
    <row r="73" spans="1:2">
      <c r="A73" t="s">
        <v>972</v>
      </c>
      <c r="B73" t="s">
        <v>488</v>
      </c>
    </row>
    <row r="74" spans="1:2">
      <c r="A74" t="s">
        <v>972</v>
      </c>
      <c r="B74" t="s">
        <v>488</v>
      </c>
    </row>
    <row r="75" spans="1:2">
      <c r="A75" t="s">
        <v>972</v>
      </c>
      <c r="B75" t="s">
        <v>488</v>
      </c>
    </row>
    <row r="76" spans="1:2">
      <c r="A76" t="s">
        <v>972</v>
      </c>
      <c r="B76" t="s">
        <v>488</v>
      </c>
    </row>
    <row r="77" spans="1:2">
      <c r="A77" t="s">
        <v>972</v>
      </c>
      <c r="B77" t="s">
        <v>488</v>
      </c>
    </row>
    <row r="78" spans="1:2">
      <c r="A78" t="s">
        <v>972</v>
      </c>
      <c r="B78" t="s">
        <v>488</v>
      </c>
    </row>
    <row r="79" spans="1:2">
      <c r="A79" t="s">
        <v>972</v>
      </c>
      <c r="B79" t="s">
        <v>488</v>
      </c>
    </row>
    <row r="80" spans="1:2">
      <c r="A80" t="s">
        <v>972</v>
      </c>
      <c r="B80" t="s">
        <v>488</v>
      </c>
    </row>
    <row r="81" spans="1:2">
      <c r="A81" t="s">
        <v>972</v>
      </c>
      <c r="B81" t="s">
        <v>488</v>
      </c>
    </row>
    <row r="82" spans="1:2">
      <c r="A82" t="s">
        <v>972</v>
      </c>
      <c r="B82" t="s">
        <v>488</v>
      </c>
    </row>
    <row r="83" spans="1:2">
      <c r="A83" t="s">
        <v>972</v>
      </c>
      <c r="B83" t="s">
        <v>488</v>
      </c>
    </row>
    <row r="84" spans="1:2">
      <c r="A84" t="s">
        <v>972</v>
      </c>
      <c r="B84" t="s">
        <v>488</v>
      </c>
    </row>
    <row r="85" spans="1:2">
      <c r="A85" t="s">
        <v>972</v>
      </c>
      <c r="B85" t="s">
        <v>488</v>
      </c>
    </row>
    <row r="86" spans="1:2">
      <c r="A86" t="s">
        <v>972</v>
      </c>
      <c r="B86" t="s">
        <v>487</v>
      </c>
    </row>
    <row r="87" spans="1:2">
      <c r="A87" t="s">
        <v>972</v>
      </c>
      <c r="B87" t="s">
        <v>487</v>
      </c>
    </row>
    <row r="88" spans="1:2">
      <c r="A88" t="s">
        <v>972</v>
      </c>
      <c r="B88" t="s">
        <v>487</v>
      </c>
    </row>
    <row r="89" spans="1:2">
      <c r="A89" t="s">
        <v>972</v>
      </c>
      <c r="B89" t="s">
        <v>487</v>
      </c>
    </row>
    <row r="90" spans="1:2">
      <c r="A90" t="s">
        <v>972</v>
      </c>
      <c r="B90" t="s">
        <v>487</v>
      </c>
    </row>
    <row r="91" spans="1:2">
      <c r="A91" t="s">
        <v>972</v>
      </c>
      <c r="B91" t="s">
        <v>487</v>
      </c>
    </row>
    <row r="92" spans="1:2">
      <c r="A92" t="s">
        <v>972</v>
      </c>
      <c r="B92" t="s">
        <v>487</v>
      </c>
    </row>
    <row r="93" spans="1:2">
      <c r="A93" t="s">
        <v>972</v>
      </c>
      <c r="B93" t="s">
        <v>487</v>
      </c>
    </row>
    <row r="94" spans="1:2">
      <c r="A94" t="s">
        <v>972</v>
      </c>
      <c r="B94" t="s">
        <v>487</v>
      </c>
    </row>
    <row r="95" spans="1:2">
      <c r="A95" t="s">
        <v>972</v>
      </c>
      <c r="B95" t="s">
        <v>487</v>
      </c>
    </row>
    <row r="96" spans="1:2">
      <c r="A96" t="s">
        <v>972</v>
      </c>
      <c r="B96" t="s">
        <v>487</v>
      </c>
    </row>
    <row r="97" spans="1:2">
      <c r="A97" t="s">
        <v>972</v>
      </c>
      <c r="B97" t="s">
        <v>487</v>
      </c>
    </row>
    <row r="98" spans="1:2">
      <c r="A98" t="s">
        <v>972</v>
      </c>
      <c r="B98" t="s">
        <v>487</v>
      </c>
    </row>
    <row r="99" spans="1:2">
      <c r="A99" t="s">
        <v>972</v>
      </c>
      <c r="B99" t="s">
        <v>487</v>
      </c>
    </row>
    <row r="100" spans="1:2">
      <c r="A100" t="s">
        <v>972</v>
      </c>
      <c r="B100" t="s">
        <v>487</v>
      </c>
    </row>
    <row r="101" spans="1:2">
      <c r="A101" t="s">
        <v>954</v>
      </c>
      <c r="B101" t="s">
        <v>488</v>
      </c>
    </row>
    <row r="102" spans="1:2">
      <c r="A102" t="s">
        <v>954</v>
      </c>
      <c r="B102" t="s">
        <v>487</v>
      </c>
    </row>
    <row r="103" spans="1:2">
      <c r="A103" t="s">
        <v>954</v>
      </c>
      <c r="B103" t="s">
        <v>487</v>
      </c>
    </row>
    <row r="104" spans="1:2">
      <c r="A104" t="s">
        <v>954</v>
      </c>
      <c r="B104" t="s">
        <v>487</v>
      </c>
    </row>
    <row r="105" spans="1:2">
      <c r="A105" t="s">
        <v>954</v>
      </c>
      <c r="B105" t="s">
        <v>487</v>
      </c>
    </row>
  </sheetData>
  <sortState ref="A3:B105">
    <sortCondition ref="A3:A105"/>
  </sortState>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dimension ref="A1:X105"/>
  <sheetViews>
    <sheetView zoomScaleNormal="100" workbookViewId="0"/>
  </sheetViews>
  <sheetFormatPr defaultRowHeight="14.4"/>
  <cols>
    <col min="1" max="1" width="14.109375" customWidth="1"/>
  </cols>
  <sheetData>
    <row r="1" spans="1:24">
      <c r="A1" s="3" t="s">
        <v>1421</v>
      </c>
    </row>
    <row r="2" spans="1:24">
      <c r="W2" t="s">
        <v>1353</v>
      </c>
    </row>
    <row r="3" spans="1:24">
      <c r="A3" t="s">
        <v>974</v>
      </c>
      <c r="B3" t="s">
        <v>519</v>
      </c>
      <c r="I3" t="s">
        <v>1183</v>
      </c>
      <c r="W3" t="s">
        <v>1354</v>
      </c>
    </row>
    <row r="4" spans="1:24">
      <c r="A4" t="s">
        <v>974</v>
      </c>
      <c r="B4" t="s">
        <v>497</v>
      </c>
      <c r="W4" s="40" t="s">
        <v>1128</v>
      </c>
      <c r="X4">
        <v>18</v>
      </c>
    </row>
    <row r="5" spans="1:24">
      <c r="A5" t="s">
        <v>974</v>
      </c>
      <c r="B5" t="s">
        <v>497</v>
      </c>
      <c r="I5" t="s">
        <v>1024</v>
      </c>
      <c r="J5">
        <v>27</v>
      </c>
      <c r="L5" t="s">
        <v>1026</v>
      </c>
      <c r="M5">
        <v>9</v>
      </c>
      <c r="W5" s="40" t="s">
        <v>1129</v>
      </c>
      <c r="X5">
        <v>16</v>
      </c>
    </row>
    <row r="6" spans="1:24">
      <c r="A6" t="s">
        <v>974</v>
      </c>
      <c r="B6" t="s">
        <v>497</v>
      </c>
      <c r="I6" t="s">
        <v>1025</v>
      </c>
      <c r="J6">
        <v>67</v>
      </c>
      <c r="W6" s="40" t="s">
        <v>1130</v>
      </c>
      <c r="X6">
        <v>9</v>
      </c>
    </row>
    <row r="7" spans="1:24">
      <c r="A7" t="s">
        <v>974</v>
      </c>
      <c r="B7" t="s">
        <v>497</v>
      </c>
      <c r="J7" s="3">
        <f>SUM(J5:J6)</f>
        <v>94</v>
      </c>
    </row>
    <row r="8" spans="1:24">
      <c r="A8" t="s">
        <v>974</v>
      </c>
      <c r="B8" t="s">
        <v>497</v>
      </c>
    </row>
    <row r="9" spans="1:24">
      <c r="A9" t="s">
        <v>974</v>
      </c>
      <c r="B9" t="s">
        <v>497</v>
      </c>
    </row>
    <row r="10" spans="1:24">
      <c r="A10" t="s">
        <v>974</v>
      </c>
      <c r="B10" t="s">
        <v>497</v>
      </c>
      <c r="I10" t="s">
        <v>1131</v>
      </c>
    </row>
    <row r="11" spans="1:24">
      <c r="A11" t="s">
        <v>974</v>
      </c>
      <c r="B11" t="s">
        <v>497</v>
      </c>
      <c r="I11" t="s">
        <v>1127</v>
      </c>
    </row>
    <row r="12" spans="1:24">
      <c r="A12" t="s">
        <v>974</v>
      </c>
      <c r="B12" t="s">
        <v>497</v>
      </c>
      <c r="I12" s="40" t="s">
        <v>1128</v>
      </c>
      <c r="J12">
        <v>6</v>
      </c>
    </row>
    <row r="13" spans="1:24">
      <c r="A13" t="s">
        <v>974</v>
      </c>
      <c r="B13" t="s">
        <v>497</v>
      </c>
      <c r="I13" s="40" t="s">
        <v>1129</v>
      </c>
      <c r="J13">
        <v>9</v>
      </c>
    </row>
    <row r="14" spans="1:24">
      <c r="A14" t="s">
        <v>974</v>
      </c>
      <c r="B14" t="s">
        <v>497</v>
      </c>
      <c r="I14" s="40" t="s">
        <v>1130</v>
      </c>
      <c r="J14">
        <v>12</v>
      </c>
    </row>
    <row r="15" spans="1:24">
      <c r="A15" t="s">
        <v>974</v>
      </c>
      <c r="B15" t="s">
        <v>497</v>
      </c>
      <c r="J15" s="3">
        <f>SUM(J12:J14)</f>
        <v>27</v>
      </c>
      <c r="L15" s="3"/>
    </row>
    <row r="16" spans="1:24">
      <c r="A16" t="s">
        <v>974</v>
      </c>
      <c r="B16" t="s">
        <v>497</v>
      </c>
    </row>
    <row r="17" spans="1:14">
      <c r="A17" t="s">
        <v>974</v>
      </c>
      <c r="B17" t="s">
        <v>497</v>
      </c>
      <c r="I17" t="s">
        <v>1095</v>
      </c>
    </row>
    <row r="18" spans="1:14">
      <c r="A18" t="s">
        <v>974</v>
      </c>
      <c r="B18" t="s">
        <v>497</v>
      </c>
      <c r="J18" t="s">
        <v>1248</v>
      </c>
      <c r="K18" t="s">
        <v>1099</v>
      </c>
      <c r="L18" t="s">
        <v>1250</v>
      </c>
      <c r="M18" t="s">
        <v>1101</v>
      </c>
    </row>
    <row r="19" spans="1:14">
      <c r="A19" t="s">
        <v>974</v>
      </c>
      <c r="B19" t="s">
        <v>497</v>
      </c>
      <c r="I19" t="s">
        <v>1024</v>
      </c>
      <c r="J19">
        <v>7</v>
      </c>
      <c r="K19">
        <v>3</v>
      </c>
      <c r="L19">
        <v>13</v>
      </c>
      <c r="M19">
        <v>3</v>
      </c>
      <c r="N19">
        <f>SUM(J19:M19)</f>
        <v>26</v>
      </c>
    </row>
    <row r="20" spans="1:14">
      <c r="A20" t="s">
        <v>974</v>
      </c>
      <c r="B20" t="s">
        <v>497</v>
      </c>
      <c r="I20" t="s">
        <v>1025</v>
      </c>
      <c r="J20">
        <v>22</v>
      </c>
      <c r="K20">
        <v>4</v>
      </c>
      <c r="L20">
        <v>40</v>
      </c>
      <c r="M20">
        <v>2</v>
      </c>
      <c r="N20">
        <f>SUM(J20:M20)</f>
        <v>68</v>
      </c>
    </row>
    <row r="21" spans="1:14">
      <c r="A21" t="s">
        <v>974</v>
      </c>
      <c r="B21" t="s">
        <v>497</v>
      </c>
      <c r="I21" t="s">
        <v>1026</v>
      </c>
      <c r="J21">
        <v>1</v>
      </c>
      <c r="K21">
        <v>0</v>
      </c>
      <c r="L21">
        <v>8</v>
      </c>
      <c r="M21">
        <v>0</v>
      </c>
      <c r="N21">
        <f>SUM(J21:M21)</f>
        <v>9</v>
      </c>
    </row>
    <row r="22" spans="1:14">
      <c r="A22" t="s">
        <v>974</v>
      </c>
      <c r="B22" t="s">
        <v>497</v>
      </c>
      <c r="J22" s="3">
        <f>SUM(J19:J21)</f>
        <v>30</v>
      </c>
      <c r="K22" s="3">
        <f>SUM(K19:K21)</f>
        <v>7</v>
      </c>
      <c r="L22" s="3">
        <f>SUM(L19:L21)</f>
        <v>61</v>
      </c>
      <c r="M22" s="3">
        <f>SUM(M19:M21)</f>
        <v>5</v>
      </c>
      <c r="N22" s="3">
        <f>SUM(J22:M22)</f>
        <v>103</v>
      </c>
    </row>
    <row r="23" spans="1:14">
      <c r="A23" t="s">
        <v>974</v>
      </c>
      <c r="B23" t="s">
        <v>497</v>
      </c>
    </row>
    <row r="24" spans="1:14">
      <c r="A24" t="s">
        <v>974</v>
      </c>
      <c r="B24" t="s">
        <v>497</v>
      </c>
    </row>
    <row r="25" spans="1:14">
      <c r="A25" t="s">
        <v>974</v>
      </c>
      <c r="B25" t="s">
        <v>497</v>
      </c>
    </row>
    <row r="26" spans="1:14">
      <c r="A26" t="s">
        <v>974</v>
      </c>
      <c r="B26" t="s">
        <v>515</v>
      </c>
    </row>
    <row r="27" spans="1:14">
      <c r="A27" t="s">
        <v>974</v>
      </c>
      <c r="B27" t="s">
        <v>515</v>
      </c>
    </row>
    <row r="28" spans="1:14">
      <c r="A28" t="s">
        <v>974</v>
      </c>
      <c r="B28" t="s">
        <v>515</v>
      </c>
    </row>
    <row r="29" spans="1:14">
      <c r="A29" t="s">
        <v>974</v>
      </c>
      <c r="B29" t="s">
        <v>515</v>
      </c>
    </row>
    <row r="30" spans="1:14">
      <c r="A30" t="s">
        <v>974</v>
      </c>
      <c r="B30" t="s">
        <v>515</v>
      </c>
    </row>
    <row r="31" spans="1:14">
      <c r="A31" t="s">
        <v>974</v>
      </c>
      <c r="B31" t="s">
        <v>512</v>
      </c>
    </row>
    <row r="32" spans="1:14">
      <c r="A32" t="s">
        <v>974</v>
      </c>
      <c r="B32" t="s">
        <v>492</v>
      </c>
    </row>
    <row r="33" spans="1:2">
      <c r="A33" t="s">
        <v>973</v>
      </c>
      <c r="B33" t="s">
        <v>497</v>
      </c>
    </row>
    <row r="34" spans="1:2">
      <c r="A34" t="s">
        <v>973</v>
      </c>
      <c r="B34" t="s">
        <v>497</v>
      </c>
    </row>
    <row r="35" spans="1:2">
      <c r="A35" t="s">
        <v>973</v>
      </c>
      <c r="B35" t="s">
        <v>497</v>
      </c>
    </row>
    <row r="36" spans="1:2">
      <c r="A36" t="s">
        <v>973</v>
      </c>
      <c r="B36" t="s">
        <v>512</v>
      </c>
    </row>
    <row r="37" spans="1:2">
      <c r="A37" t="s">
        <v>973</v>
      </c>
      <c r="B37" t="s">
        <v>492</v>
      </c>
    </row>
    <row r="38" spans="1:2">
      <c r="A38" t="s">
        <v>973</v>
      </c>
      <c r="B38" t="s">
        <v>492</v>
      </c>
    </row>
    <row r="39" spans="1:2">
      <c r="A39" t="s">
        <v>973</v>
      </c>
      <c r="B39" t="s">
        <v>492</v>
      </c>
    </row>
    <row r="40" spans="1:2">
      <c r="A40" t="s">
        <v>972</v>
      </c>
      <c r="B40" t="s">
        <v>519</v>
      </c>
    </row>
    <row r="41" spans="1:2">
      <c r="A41" t="s">
        <v>972</v>
      </c>
      <c r="B41" t="s">
        <v>519</v>
      </c>
    </row>
    <row r="42" spans="1:2">
      <c r="A42" t="s">
        <v>972</v>
      </c>
      <c r="B42" t="s">
        <v>519</v>
      </c>
    </row>
    <row r="43" spans="1:2">
      <c r="A43" t="s">
        <v>972</v>
      </c>
      <c r="B43" t="s">
        <v>519</v>
      </c>
    </row>
    <row r="44" spans="1:2">
      <c r="A44" t="s">
        <v>972</v>
      </c>
      <c r="B44" t="s">
        <v>519</v>
      </c>
    </row>
    <row r="45" spans="1:2">
      <c r="A45" t="s">
        <v>972</v>
      </c>
      <c r="B45" t="s">
        <v>519</v>
      </c>
    </row>
    <row r="46" spans="1:2">
      <c r="A46" t="s">
        <v>972</v>
      </c>
      <c r="B46" t="s">
        <v>519</v>
      </c>
    </row>
    <row r="47" spans="1:2">
      <c r="A47" t="s">
        <v>972</v>
      </c>
      <c r="B47" t="s">
        <v>519</v>
      </c>
    </row>
    <row r="48" spans="1:2">
      <c r="A48" t="s">
        <v>972</v>
      </c>
      <c r="B48" t="s">
        <v>497</v>
      </c>
    </row>
    <row r="49" spans="1:2">
      <c r="A49" t="s">
        <v>972</v>
      </c>
      <c r="B49" t="s">
        <v>497</v>
      </c>
    </row>
    <row r="50" spans="1:2">
      <c r="A50" t="s">
        <v>972</v>
      </c>
      <c r="B50" t="s">
        <v>497</v>
      </c>
    </row>
    <row r="51" spans="1:2">
      <c r="A51" t="s">
        <v>972</v>
      </c>
      <c r="B51" t="s">
        <v>497</v>
      </c>
    </row>
    <row r="52" spans="1:2">
      <c r="A52" t="s">
        <v>972</v>
      </c>
      <c r="B52" t="s">
        <v>497</v>
      </c>
    </row>
    <row r="53" spans="1:2">
      <c r="A53" t="s">
        <v>972</v>
      </c>
      <c r="B53" t="s">
        <v>497</v>
      </c>
    </row>
    <row r="54" spans="1:2">
      <c r="A54" t="s">
        <v>972</v>
      </c>
      <c r="B54" t="s">
        <v>497</v>
      </c>
    </row>
    <row r="55" spans="1:2">
      <c r="A55" t="s">
        <v>972</v>
      </c>
      <c r="B55" t="s">
        <v>497</v>
      </c>
    </row>
    <row r="56" spans="1:2">
      <c r="A56" t="s">
        <v>972</v>
      </c>
      <c r="B56" t="s">
        <v>497</v>
      </c>
    </row>
    <row r="57" spans="1:2">
      <c r="A57" t="s">
        <v>972</v>
      </c>
      <c r="B57" t="s">
        <v>497</v>
      </c>
    </row>
    <row r="58" spans="1:2">
      <c r="A58" t="s">
        <v>972</v>
      </c>
      <c r="B58" t="s">
        <v>497</v>
      </c>
    </row>
    <row r="59" spans="1:2">
      <c r="A59" t="s">
        <v>972</v>
      </c>
      <c r="B59" t="s">
        <v>497</v>
      </c>
    </row>
    <row r="60" spans="1:2">
      <c r="A60" t="s">
        <v>972</v>
      </c>
      <c r="B60" t="s">
        <v>497</v>
      </c>
    </row>
    <row r="61" spans="1:2">
      <c r="A61" t="s">
        <v>972</v>
      </c>
      <c r="B61" t="s">
        <v>497</v>
      </c>
    </row>
    <row r="62" spans="1:2">
      <c r="A62" t="s">
        <v>972</v>
      </c>
      <c r="B62" t="s">
        <v>497</v>
      </c>
    </row>
    <row r="63" spans="1:2">
      <c r="A63" t="s">
        <v>972</v>
      </c>
      <c r="B63" t="s">
        <v>497</v>
      </c>
    </row>
    <row r="64" spans="1:2">
      <c r="A64" t="s">
        <v>972</v>
      </c>
      <c r="B64" t="s">
        <v>497</v>
      </c>
    </row>
    <row r="65" spans="1:2">
      <c r="A65" t="s">
        <v>972</v>
      </c>
      <c r="B65" t="s">
        <v>497</v>
      </c>
    </row>
    <row r="66" spans="1:2">
      <c r="A66" t="s">
        <v>972</v>
      </c>
      <c r="B66" t="s">
        <v>497</v>
      </c>
    </row>
    <row r="67" spans="1:2">
      <c r="A67" t="s">
        <v>972</v>
      </c>
      <c r="B67" t="s">
        <v>497</v>
      </c>
    </row>
    <row r="68" spans="1:2">
      <c r="A68" t="s">
        <v>972</v>
      </c>
      <c r="B68" t="s">
        <v>497</v>
      </c>
    </row>
    <row r="69" spans="1:2">
      <c r="A69" t="s">
        <v>972</v>
      </c>
      <c r="B69" t="s">
        <v>497</v>
      </c>
    </row>
    <row r="70" spans="1:2">
      <c r="A70" t="s">
        <v>972</v>
      </c>
      <c r="B70" t="s">
        <v>497</v>
      </c>
    </row>
    <row r="71" spans="1:2">
      <c r="A71" t="s">
        <v>972</v>
      </c>
      <c r="B71" t="s">
        <v>497</v>
      </c>
    </row>
    <row r="72" spans="1:2">
      <c r="A72" t="s">
        <v>972</v>
      </c>
      <c r="B72" t="s">
        <v>497</v>
      </c>
    </row>
    <row r="73" spans="1:2">
      <c r="A73" t="s">
        <v>972</v>
      </c>
      <c r="B73" t="s">
        <v>497</v>
      </c>
    </row>
    <row r="74" spans="1:2">
      <c r="A74" t="s">
        <v>972</v>
      </c>
      <c r="B74" t="s">
        <v>497</v>
      </c>
    </row>
    <row r="75" spans="1:2">
      <c r="A75" t="s">
        <v>972</v>
      </c>
      <c r="B75" t="s">
        <v>497</v>
      </c>
    </row>
    <row r="76" spans="1:2">
      <c r="A76" t="s">
        <v>972</v>
      </c>
      <c r="B76" t="s">
        <v>497</v>
      </c>
    </row>
    <row r="77" spans="1:2">
      <c r="A77" t="s">
        <v>972</v>
      </c>
      <c r="B77" t="s">
        <v>497</v>
      </c>
    </row>
    <row r="78" spans="1:2">
      <c r="A78" t="s">
        <v>972</v>
      </c>
      <c r="B78" t="s">
        <v>497</v>
      </c>
    </row>
    <row r="79" spans="1:2">
      <c r="A79" t="s">
        <v>972</v>
      </c>
      <c r="B79" t="s">
        <v>497</v>
      </c>
    </row>
    <row r="80" spans="1:2">
      <c r="A80" t="s">
        <v>972</v>
      </c>
      <c r="B80" t="s">
        <v>497</v>
      </c>
    </row>
    <row r="81" spans="1:2">
      <c r="A81" t="s">
        <v>972</v>
      </c>
      <c r="B81" t="s">
        <v>497</v>
      </c>
    </row>
    <row r="82" spans="1:2">
      <c r="A82" t="s">
        <v>972</v>
      </c>
      <c r="B82" t="s">
        <v>497</v>
      </c>
    </row>
    <row r="83" spans="1:2">
      <c r="A83" t="s">
        <v>972</v>
      </c>
      <c r="B83" t="s">
        <v>497</v>
      </c>
    </row>
    <row r="84" spans="1:2">
      <c r="A84" t="s">
        <v>972</v>
      </c>
      <c r="B84" t="s">
        <v>497</v>
      </c>
    </row>
    <row r="85" spans="1:2">
      <c r="A85" t="s">
        <v>972</v>
      </c>
      <c r="B85" t="s">
        <v>497</v>
      </c>
    </row>
    <row r="86" spans="1:2">
      <c r="A86" t="s">
        <v>972</v>
      </c>
      <c r="B86" t="s">
        <v>497</v>
      </c>
    </row>
    <row r="87" spans="1:2">
      <c r="A87" t="s">
        <v>972</v>
      </c>
      <c r="B87" t="s">
        <v>497</v>
      </c>
    </row>
    <row r="88" spans="1:2">
      <c r="A88" t="s">
        <v>972</v>
      </c>
      <c r="B88" t="s">
        <v>515</v>
      </c>
    </row>
    <row r="89" spans="1:2">
      <c r="A89" t="s">
        <v>972</v>
      </c>
      <c r="B89" t="s">
        <v>515</v>
      </c>
    </row>
    <row r="90" spans="1:2">
      <c r="A90" t="s">
        <v>972</v>
      </c>
      <c r="B90" t="s">
        <v>515</v>
      </c>
    </row>
    <row r="91" spans="1:2">
      <c r="A91" t="s">
        <v>972</v>
      </c>
      <c r="B91" t="s">
        <v>515</v>
      </c>
    </row>
    <row r="92" spans="1:2">
      <c r="A92" t="s">
        <v>972</v>
      </c>
      <c r="B92" t="s">
        <v>515</v>
      </c>
    </row>
    <row r="93" spans="1:2">
      <c r="A93" t="s">
        <v>972</v>
      </c>
      <c r="B93" t="s">
        <v>515</v>
      </c>
    </row>
    <row r="94" spans="1:2">
      <c r="A94" t="s">
        <v>972</v>
      </c>
      <c r="B94" t="s">
        <v>512</v>
      </c>
    </row>
    <row r="95" spans="1:2">
      <c r="A95" t="s">
        <v>972</v>
      </c>
      <c r="B95" t="s">
        <v>512</v>
      </c>
    </row>
    <row r="96" spans="1:2">
      <c r="A96" t="s">
        <v>972</v>
      </c>
      <c r="B96" t="s">
        <v>512</v>
      </c>
    </row>
    <row r="97" spans="1:2">
      <c r="A97" t="s">
        <v>972</v>
      </c>
      <c r="B97" t="s">
        <v>512</v>
      </c>
    </row>
    <row r="98" spans="1:2">
      <c r="A98" t="s">
        <v>972</v>
      </c>
      <c r="B98" t="s">
        <v>512</v>
      </c>
    </row>
    <row r="99" spans="1:2">
      <c r="A99" t="s">
        <v>972</v>
      </c>
      <c r="B99" t="s">
        <v>512</v>
      </c>
    </row>
    <row r="100" spans="1:2">
      <c r="A100" t="s">
        <v>972</v>
      </c>
      <c r="B100" t="s">
        <v>512</v>
      </c>
    </row>
    <row r="101" spans="1:2">
      <c r="A101" t="s">
        <v>954</v>
      </c>
      <c r="B101" t="s">
        <v>497</v>
      </c>
    </row>
    <row r="102" spans="1:2">
      <c r="A102" t="s">
        <v>954</v>
      </c>
      <c r="B102" t="s">
        <v>497</v>
      </c>
    </row>
    <row r="103" spans="1:2">
      <c r="A103" t="s">
        <v>954</v>
      </c>
      <c r="B103" t="s">
        <v>515</v>
      </c>
    </row>
    <row r="104" spans="1:2">
      <c r="A104" t="s">
        <v>954</v>
      </c>
      <c r="B104" t="s">
        <v>492</v>
      </c>
    </row>
    <row r="105" spans="1:2">
      <c r="A105" t="s">
        <v>954</v>
      </c>
      <c r="B105" t="s">
        <v>492</v>
      </c>
    </row>
  </sheetData>
  <sortState ref="A3:B105">
    <sortCondition ref="A3:A105"/>
  </sortState>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dimension ref="A1:N109"/>
  <sheetViews>
    <sheetView workbookViewId="0"/>
  </sheetViews>
  <sheetFormatPr defaultRowHeight="14.4"/>
  <cols>
    <col min="1" max="1" width="13.33203125" customWidth="1"/>
    <col min="2" max="2" width="16.33203125" customWidth="1"/>
    <col min="3" max="3" width="21" customWidth="1"/>
    <col min="4" max="4" width="11.5546875" customWidth="1"/>
    <col min="8" max="8" width="30.5546875" customWidth="1"/>
    <col min="9" max="9" width="11.33203125" customWidth="1"/>
    <col min="10" max="10" width="9" bestFit="1" customWidth="1"/>
    <col min="11" max="11" width="12.88671875" bestFit="1" customWidth="1"/>
    <col min="12" max="12" width="10.5546875" bestFit="1" customWidth="1"/>
  </cols>
  <sheetData>
    <row r="1" spans="1:12">
      <c r="A1" s="3" t="s">
        <v>1422</v>
      </c>
    </row>
    <row r="3" spans="1:12">
      <c r="B3" t="s">
        <v>1132</v>
      </c>
      <c r="C3" t="s">
        <v>1133</v>
      </c>
      <c r="D3" t="s">
        <v>978</v>
      </c>
      <c r="E3" t="s">
        <v>1134</v>
      </c>
      <c r="F3" t="s">
        <v>1135</v>
      </c>
      <c r="H3" s="3" t="s">
        <v>1136</v>
      </c>
      <c r="K3" t="s">
        <v>1401</v>
      </c>
    </row>
    <row r="4" spans="1:12">
      <c r="A4" t="s">
        <v>974</v>
      </c>
      <c r="B4" s="14">
        <v>0</v>
      </c>
      <c r="C4" s="14">
        <v>0</v>
      </c>
      <c r="D4" s="14">
        <v>0</v>
      </c>
      <c r="E4" t="s">
        <v>510</v>
      </c>
      <c r="F4" t="s">
        <v>510</v>
      </c>
    </row>
    <row r="5" spans="1:12">
      <c r="A5" t="s">
        <v>974</v>
      </c>
      <c r="B5" s="14">
        <v>0</v>
      </c>
      <c r="C5" s="14">
        <v>0</v>
      </c>
      <c r="D5" s="14">
        <v>0</v>
      </c>
      <c r="E5" t="s">
        <v>493</v>
      </c>
      <c r="F5" t="s">
        <v>493</v>
      </c>
      <c r="H5" t="s">
        <v>1138</v>
      </c>
      <c r="I5" s="14">
        <v>134415</v>
      </c>
    </row>
    <row r="6" spans="1:12">
      <c r="A6" t="s">
        <v>974</v>
      </c>
      <c r="B6" s="14">
        <v>0</v>
      </c>
      <c r="C6" s="14">
        <v>0</v>
      </c>
      <c r="D6" s="14">
        <v>0</v>
      </c>
      <c r="E6" t="s">
        <v>493</v>
      </c>
      <c r="F6" t="s">
        <v>493</v>
      </c>
      <c r="H6" t="s">
        <v>1137</v>
      </c>
      <c r="I6" s="14">
        <v>89364</v>
      </c>
    </row>
    <row r="7" spans="1:12">
      <c r="A7" t="s">
        <v>974</v>
      </c>
      <c r="B7" s="14">
        <v>3000</v>
      </c>
      <c r="C7" s="14">
        <v>0</v>
      </c>
      <c r="D7" s="14">
        <v>3000</v>
      </c>
      <c r="E7" t="s">
        <v>493</v>
      </c>
      <c r="F7" t="s">
        <v>493</v>
      </c>
      <c r="H7" t="s">
        <v>1139</v>
      </c>
      <c r="I7" s="14">
        <v>223779</v>
      </c>
      <c r="K7" s="68">
        <f>I7/2397308</f>
        <v>9.334595304399769E-2</v>
      </c>
      <c r="L7" t="s">
        <v>1402</v>
      </c>
    </row>
    <row r="8" spans="1:12">
      <c r="A8" t="s">
        <v>974</v>
      </c>
      <c r="B8" s="14">
        <v>5000</v>
      </c>
      <c r="C8" s="14">
        <v>0</v>
      </c>
      <c r="D8" s="14">
        <v>5000</v>
      </c>
      <c r="E8" t="s">
        <v>493</v>
      </c>
      <c r="F8" t="s">
        <v>493</v>
      </c>
      <c r="H8" t="s">
        <v>1140</v>
      </c>
      <c r="I8" s="14">
        <v>20000</v>
      </c>
      <c r="K8" s="68">
        <f>I8/300000</f>
        <v>6.6666666666666666E-2</v>
      </c>
      <c r="L8" t="s">
        <v>1403</v>
      </c>
    </row>
    <row r="9" spans="1:12">
      <c r="A9" t="s">
        <v>974</v>
      </c>
      <c r="B9" s="14">
        <v>10000</v>
      </c>
      <c r="C9" s="14">
        <v>0</v>
      </c>
      <c r="D9" s="14">
        <v>10000</v>
      </c>
      <c r="E9" t="s">
        <v>493</v>
      </c>
      <c r="F9" t="s">
        <v>493</v>
      </c>
      <c r="H9" t="s">
        <v>1141</v>
      </c>
      <c r="I9" s="14">
        <v>0</v>
      </c>
    </row>
    <row r="10" spans="1:12">
      <c r="A10" t="s">
        <v>974</v>
      </c>
      <c r="B10" s="14">
        <v>10000</v>
      </c>
      <c r="C10" s="14">
        <v>0</v>
      </c>
      <c r="D10" s="14">
        <v>10000</v>
      </c>
      <c r="E10" t="s">
        <v>493</v>
      </c>
      <c r="F10" t="s">
        <v>493</v>
      </c>
      <c r="K10" s="68">
        <f>79299/2278942</f>
        <v>3.4796409913021041E-2</v>
      </c>
      <c r="L10" t="s">
        <v>1406</v>
      </c>
    </row>
    <row r="11" spans="1:12">
      <c r="A11" t="s">
        <v>974</v>
      </c>
      <c r="B11" s="14">
        <v>14000</v>
      </c>
      <c r="C11" s="14">
        <v>0</v>
      </c>
      <c r="D11" s="14">
        <v>14000</v>
      </c>
      <c r="E11" t="s">
        <v>493</v>
      </c>
      <c r="F11" t="s">
        <v>493</v>
      </c>
      <c r="H11" t="s">
        <v>1151</v>
      </c>
    </row>
    <row r="12" spans="1:12">
      <c r="A12" t="s">
        <v>974</v>
      </c>
      <c r="B12" s="14">
        <v>15000</v>
      </c>
      <c r="C12" s="14">
        <v>10000</v>
      </c>
      <c r="D12" s="14">
        <v>25000</v>
      </c>
      <c r="E12" t="s">
        <v>493</v>
      </c>
      <c r="F12" t="s">
        <v>493</v>
      </c>
      <c r="H12" t="s">
        <v>1149</v>
      </c>
      <c r="I12" s="15">
        <f>85</f>
        <v>85</v>
      </c>
    </row>
    <row r="13" spans="1:12">
      <c r="A13" t="s">
        <v>974</v>
      </c>
      <c r="B13" s="14">
        <v>20000</v>
      </c>
      <c r="C13" s="14">
        <v>0</v>
      </c>
      <c r="D13" s="14">
        <v>20000</v>
      </c>
      <c r="E13" t="s">
        <v>493</v>
      </c>
      <c r="F13" t="s">
        <v>493</v>
      </c>
      <c r="H13" t="s">
        <v>1150</v>
      </c>
      <c r="I13" s="15">
        <v>14</v>
      </c>
    </row>
    <row r="14" spans="1:12">
      <c r="A14" t="s">
        <v>974</v>
      </c>
      <c r="B14" s="14">
        <v>20000</v>
      </c>
      <c r="C14" s="14">
        <v>0</v>
      </c>
      <c r="D14" s="14">
        <v>20000</v>
      </c>
      <c r="E14" t="s">
        <v>493</v>
      </c>
      <c r="F14" t="s">
        <v>493</v>
      </c>
    </row>
    <row r="15" spans="1:12">
      <c r="A15" t="s">
        <v>974</v>
      </c>
      <c r="B15" s="14">
        <v>25000</v>
      </c>
      <c r="C15" s="14">
        <v>0</v>
      </c>
      <c r="D15" s="14">
        <v>25000</v>
      </c>
      <c r="E15" t="s">
        <v>493</v>
      </c>
      <c r="F15" t="s">
        <v>493</v>
      </c>
      <c r="H15" t="s">
        <v>1251</v>
      </c>
    </row>
    <row r="16" spans="1:12">
      <c r="A16" t="s">
        <v>974</v>
      </c>
      <c r="B16" s="14">
        <v>40000</v>
      </c>
      <c r="C16" s="14">
        <v>0</v>
      </c>
      <c r="D16" s="14">
        <v>40000</v>
      </c>
      <c r="E16" t="s">
        <v>493</v>
      </c>
      <c r="F16" t="s">
        <v>493</v>
      </c>
      <c r="H16" t="s">
        <v>1397</v>
      </c>
      <c r="I16" s="25">
        <f>84/85</f>
        <v>0.9882352941176471</v>
      </c>
    </row>
    <row r="17" spans="1:13">
      <c r="A17" t="s">
        <v>974</v>
      </c>
      <c r="B17" s="14">
        <v>40000</v>
      </c>
      <c r="C17" s="14">
        <v>0</v>
      </c>
      <c r="D17" s="14">
        <v>40000</v>
      </c>
      <c r="E17" t="s">
        <v>493</v>
      </c>
      <c r="F17" t="s">
        <v>493</v>
      </c>
      <c r="H17" t="s">
        <v>1398</v>
      </c>
      <c r="I17" s="25">
        <f>42/85</f>
        <v>0.49411764705882355</v>
      </c>
    </row>
    <row r="18" spans="1:13">
      <c r="A18" t="s">
        <v>974</v>
      </c>
      <c r="B18" s="14">
        <v>50000</v>
      </c>
      <c r="C18" s="14">
        <v>10000</v>
      </c>
      <c r="D18" s="14">
        <v>60000</v>
      </c>
      <c r="E18" t="s">
        <v>493</v>
      </c>
      <c r="F18" t="s">
        <v>493</v>
      </c>
    </row>
    <row r="19" spans="1:13">
      <c r="A19" t="s">
        <v>974</v>
      </c>
      <c r="B19" s="14">
        <v>50000</v>
      </c>
      <c r="C19" s="14">
        <v>200000</v>
      </c>
      <c r="D19" s="14">
        <v>250000</v>
      </c>
      <c r="E19" t="s">
        <v>493</v>
      </c>
      <c r="F19" t="s">
        <v>535</v>
      </c>
      <c r="H19" t="s">
        <v>1148</v>
      </c>
    </row>
    <row r="20" spans="1:13">
      <c r="A20" t="s">
        <v>974</v>
      </c>
      <c r="B20" s="14">
        <v>64000</v>
      </c>
      <c r="C20" s="14">
        <v>0</v>
      </c>
      <c r="D20" s="14">
        <v>64000</v>
      </c>
      <c r="E20" t="s">
        <v>493</v>
      </c>
      <c r="F20" t="s">
        <v>493</v>
      </c>
      <c r="I20" t="s">
        <v>1101</v>
      </c>
      <c r="J20" t="s">
        <v>1146</v>
      </c>
      <c r="K20" t="s">
        <v>1099</v>
      </c>
      <c r="L20" t="s">
        <v>1142</v>
      </c>
    </row>
    <row r="21" spans="1:13">
      <c r="A21" t="s">
        <v>974</v>
      </c>
      <c r="B21" s="14">
        <v>64000</v>
      </c>
      <c r="C21" s="14">
        <v>8000</v>
      </c>
      <c r="D21" s="14">
        <v>72000</v>
      </c>
      <c r="E21" t="s">
        <v>493</v>
      </c>
      <c r="F21" t="s">
        <v>493</v>
      </c>
      <c r="H21" t="s">
        <v>1143</v>
      </c>
      <c r="I21" s="14">
        <f>7900000/5</f>
        <v>1580000</v>
      </c>
      <c r="J21" s="14">
        <f>1923517/59</f>
        <v>32601.983050847459</v>
      </c>
      <c r="K21" s="14">
        <f>413000/7</f>
        <v>59000</v>
      </c>
      <c r="L21" s="14">
        <f>3070600/28</f>
        <v>109664.28571428571</v>
      </c>
      <c r="M21" s="14"/>
    </row>
    <row r="22" spans="1:13">
      <c r="A22" t="s">
        <v>974</v>
      </c>
      <c r="B22" s="14">
        <v>100000</v>
      </c>
      <c r="C22" s="14">
        <v>0</v>
      </c>
      <c r="D22" s="14">
        <v>100000</v>
      </c>
      <c r="E22" t="s">
        <v>493</v>
      </c>
      <c r="F22" t="s">
        <v>493</v>
      </c>
      <c r="H22" t="s">
        <v>1144</v>
      </c>
      <c r="I22" s="14">
        <f>6800000/4</f>
        <v>1700000</v>
      </c>
      <c r="J22" s="14">
        <f>634000/19</f>
        <v>33368.42105263158</v>
      </c>
      <c r="K22" s="14">
        <f>395000/6</f>
        <v>65833.333333333328</v>
      </c>
      <c r="L22" s="14">
        <f>1018000/13</f>
        <v>78307.692307692312</v>
      </c>
      <c r="M22" s="14"/>
    </row>
    <row r="23" spans="1:13">
      <c r="A23" t="s">
        <v>974</v>
      </c>
      <c r="B23" s="14">
        <v>130000</v>
      </c>
      <c r="C23" s="14">
        <v>50000</v>
      </c>
      <c r="D23" s="14">
        <v>180000</v>
      </c>
      <c r="E23" t="s">
        <v>493</v>
      </c>
      <c r="F23" t="s">
        <v>493</v>
      </c>
      <c r="H23" t="s">
        <v>1152</v>
      </c>
      <c r="I23" s="41">
        <f>SUM(I21:I22)</f>
        <v>3280000</v>
      </c>
      <c r="J23" s="41">
        <f>SUM(J21:J22)</f>
        <v>65970.404103479043</v>
      </c>
      <c r="K23" s="41">
        <f>SUM(K21:K22)</f>
        <v>124833.33333333333</v>
      </c>
      <c r="L23" s="41">
        <f>SUM(L21:L22)</f>
        <v>187971.97802197802</v>
      </c>
      <c r="M23" s="41"/>
    </row>
    <row r="24" spans="1:13">
      <c r="A24" t="s">
        <v>974</v>
      </c>
      <c r="B24" s="14">
        <v>150000</v>
      </c>
      <c r="C24" s="14">
        <v>100000</v>
      </c>
      <c r="D24" s="14">
        <v>250000</v>
      </c>
      <c r="E24" t="s">
        <v>493</v>
      </c>
      <c r="F24" t="s">
        <v>493</v>
      </c>
    </row>
    <row r="25" spans="1:13">
      <c r="A25" t="s">
        <v>974</v>
      </c>
      <c r="B25" s="14">
        <v>200000</v>
      </c>
      <c r="C25" s="14">
        <v>70000</v>
      </c>
      <c r="D25" s="14">
        <v>270000</v>
      </c>
      <c r="E25" t="s">
        <v>493</v>
      </c>
      <c r="F25" t="s">
        <v>493</v>
      </c>
      <c r="H25" t="s">
        <v>1148</v>
      </c>
    </row>
    <row r="26" spans="1:13">
      <c r="A26" t="s">
        <v>974</v>
      </c>
      <c r="B26" s="14">
        <v>220000</v>
      </c>
      <c r="C26" s="14">
        <v>30000</v>
      </c>
      <c r="D26" s="14">
        <v>250000</v>
      </c>
      <c r="E26" t="s">
        <v>493</v>
      </c>
      <c r="F26" t="s">
        <v>493</v>
      </c>
      <c r="I26" t="s">
        <v>1142</v>
      </c>
      <c r="J26" t="s">
        <v>1099</v>
      </c>
      <c r="K26" t="s">
        <v>1146</v>
      </c>
      <c r="L26" t="s">
        <v>1101</v>
      </c>
    </row>
    <row r="27" spans="1:13">
      <c r="A27" t="s">
        <v>974</v>
      </c>
      <c r="B27" s="14">
        <v>250000</v>
      </c>
      <c r="C27" s="14">
        <v>30000</v>
      </c>
      <c r="D27" s="14">
        <v>280000</v>
      </c>
      <c r="E27" t="s">
        <v>493</v>
      </c>
      <c r="F27" t="s">
        <v>493</v>
      </c>
      <c r="H27" t="s">
        <v>1147</v>
      </c>
      <c r="I27">
        <v>25</v>
      </c>
      <c r="J27">
        <v>7</v>
      </c>
      <c r="K27">
        <v>49</v>
      </c>
      <c r="L27">
        <v>4</v>
      </c>
      <c r="M27" s="3">
        <f>SUM(I27:L27)</f>
        <v>85</v>
      </c>
    </row>
    <row r="28" spans="1:13">
      <c r="A28" t="s">
        <v>974</v>
      </c>
      <c r="B28" s="14">
        <v>300000</v>
      </c>
      <c r="C28" s="14">
        <v>150000</v>
      </c>
      <c r="D28" s="14">
        <v>450000</v>
      </c>
      <c r="E28" t="s">
        <v>493</v>
      </c>
      <c r="F28" t="s">
        <v>493</v>
      </c>
      <c r="H28" t="s">
        <v>1145</v>
      </c>
      <c r="I28">
        <v>3</v>
      </c>
      <c r="J28">
        <v>0</v>
      </c>
      <c r="K28">
        <v>10</v>
      </c>
      <c r="L28">
        <v>1</v>
      </c>
      <c r="M28" s="3">
        <f>SUM(I28:L28)</f>
        <v>14</v>
      </c>
    </row>
    <row r="29" spans="1:13">
      <c r="A29" t="s">
        <v>974</v>
      </c>
      <c r="B29" s="14">
        <v>340600</v>
      </c>
      <c r="C29" s="14">
        <v>36000</v>
      </c>
      <c r="D29" s="14">
        <v>376600</v>
      </c>
      <c r="E29" t="s">
        <v>493</v>
      </c>
      <c r="F29" t="s">
        <v>493</v>
      </c>
      <c r="I29" s="3">
        <f>SUM(I27:I28)</f>
        <v>28</v>
      </c>
      <c r="J29" s="3">
        <f>SUM(J27:J28)</f>
        <v>7</v>
      </c>
      <c r="K29" s="3">
        <f>SUM(K27:K28)</f>
        <v>59</v>
      </c>
      <c r="L29" s="3">
        <f>SUM(L27:L28)</f>
        <v>5</v>
      </c>
      <c r="M29" s="3">
        <f>SUM(M27:M28)</f>
        <v>99</v>
      </c>
    </row>
    <row r="30" spans="1:13">
      <c r="A30" t="s">
        <v>974</v>
      </c>
      <c r="B30" s="14">
        <v>450000</v>
      </c>
      <c r="C30" s="14">
        <v>124000</v>
      </c>
      <c r="D30" s="14">
        <v>574000</v>
      </c>
      <c r="E30" t="s">
        <v>493</v>
      </c>
      <c r="F30" t="s">
        <v>493</v>
      </c>
    </row>
    <row r="31" spans="1:13">
      <c r="A31" t="s">
        <v>974</v>
      </c>
      <c r="B31" s="14">
        <v>500000</v>
      </c>
      <c r="C31" s="14">
        <v>200000</v>
      </c>
      <c r="D31" s="14">
        <v>700000</v>
      </c>
      <c r="E31" t="s">
        <v>493</v>
      </c>
      <c r="F31" t="s">
        <v>493</v>
      </c>
      <c r="H31" t="s">
        <v>1148</v>
      </c>
    </row>
    <row r="32" spans="1:13">
      <c r="A32" t="s">
        <v>973</v>
      </c>
      <c r="B32" s="14">
        <v>3000</v>
      </c>
      <c r="C32" s="14">
        <v>15000</v>
      </c>
      <c r="D32" s="14">
        <v>18000</v>
      </c>
      <c r="E32" t="s">
        <v>493</v>
      </c>
      <c r="F32" t="s">
        <v>493</v>
      </c>
      <c r="I32" t="s">
        <v>1252</v>
      </c>
      <c r="J32" t="s">
        <v>1099</v>
      </c>
      <c r="K32" t="s">
        <v>1253</v>
      </c>
      <c r="L32" t="s">
        <v>1254</v>
      </c>
    </row>
    <row r="33" spans="1:12">
      <c r="A33" t="s">
        <v>973</v>
      </c>
      <c r="B33" s="14">
        <v>15000</v>
      </c>
      <c r="C33" s="14">
        <v>25000</v>
      </c>
      <c r="D33" s="14">
        <v>40000</v>
      </c>
      <c r="E33" t="s">
        <v>493</v>
      </c>
      <c r="F33" t="s">
        <v>493</v>
      </c>
      <c r="H33" t="s">
        <v>1399</v>
      </c>
      <c r="I33" s="25">
        <f>25/25</f>
        <v>1</v>
      </c>
      <c r="J33" s="25">
        <f>7/7</f>
        <v>1</v>
      </c>
      <c r="K33" s="25">
        <f>48/49</f>
        <v>0.97959183673469385</v>
      </c>
      <c r="L33" s="25">
        <f>4/4</f>
        <v>1</v>
      </c>
    </row>
    <row r="34" spans="1:12">
      <c r="A34" t="s">
        <v>973</v>
      </c>
      <c r="B34" s="14">
        <v>30000</v>
      </c>
      <c r="C34" s="14">
        <v>30000</v>
      </c>
      <c r="D34" s="14">
        <v>60000</v>
      </c>
      <c r="E34" t="s">
        <v>493</v>
      </c>
      <c r="F34" t="s">
        <v>493</v>
      </c>
      <c r="H34" t="s">
        <v>1400</v>
      </c>
      <c r="I34" s="25">
        <f>13/25</f>
        <v>0.52</v>
      </c>
      <c r="J34" s="25">
        <f>6/7</f>
        <v>0.8571428571428571</v>
      </c>
      <c r="K34" s="25">
        <f>19/49</f>
        <v>0.38775510204081631</v>
      </c>
      <c r="L34" s="25">
        <f>4/4</f>
        <v>1</v>
      </c>
    </row>
    <row r="35" spans="1:12">
      <c r="A35" t="s">
        <v>973</v>
      </c>
      <c r="B35" s="14">
        <v>75000</v>
      </c>
      <c r="C35" s="14">
        <v>75000</v>
      </c>
      <c r="D35" s="14">
        <v>150000</v>
      </c>
      <c r="E35" t="s">
        <v>493</v>
      </c>
      <c r="F35" t="s">
        <v>493</v>
      </c>
    </row>
    <row r="36" spans="1:12">
      <c r="A36" t="s">
        <v>973</v>
      </c>
      <c r="B36" s="14">
        <v>90000</v>
      </c>
      <c r="C36" s="14">
        <v>0</v>
      </c>
      <c r="D36" s="14">
        <v>90000</v>
      </c>
      <c r="E36" t="s">
        <v>493</v>
      </c>
      <c r="F36" t="s">
        <v>493</v>
      </c>
    </row>
    <row r="37" spans="1:12">
      <c r="A37" t="s">
        <v>973</v>
      </c>
      <c r="B37" s="14">
        <v>100000</v>
      </c>
      <c r="C37" s="14">
        <v>50000</v>
      </c>
      <c r="D37" s="14">
        <v>150000</v>
      </c>
      <c r="E37" t="s">
        <v>493</v>
      </c>
      <c r="F37" t="s">
        <v>493</v>
      </c>
    </row>
    <row r="38" spans="1:12">
      <c r="A38" t="s">
        <v>973</v>
      </c>
      <c r="B38" s="14">
        <v>100000</v>
      </c>
      <c r="C38" s="14">
        <v>200000</v>
      </c>
      <c r="D38" s="14">
        <v>300000</v>
      </c>
      <c r="E38" t="s">
        <v>510</v>
      </c>
      <c r="F38" t="s">
        <v>493</v>
      </c>
    </row>
    <row r="39" spans="1:12">
      <c r="A39" t="s">
        <v>972</v>
      </c>
      <c r="B39" s="14">
        <v>0</v>
      </c>
      <c r="C39" s="14">
        <v>0</v>
      </c>
      <c r="D39" s="14">
        <v>0</v>
      </c>
      <c r="E39" t="s">
        <v>535</v>
      </c>
      <c r="F39" t="s">
        <v>535</v>
      </c>
    </row>
    <row r="40" spans="1:12">
      <c r="A40" t="s">
        <v>972</v>
      </c>
      <c r="B40" s="14">
        <v>0</v>
      </c>
      <c r="C40" s="14">
        <v>0</v>
      </c>
      <c r="D40" s="14">
        <v>0</v>
      </c>
      <c r="E40" t="s">
        <v>493</v>
      </c>
      <c r="F40" t="s">
        <v>493</v>
      </c>
    </row>
    <row r="41" spans="1:12">
      <c r="A41" t="s">
        <v>972</v>
      </c>
      <c r="B41" s="14">
        <v>0</v>
      </c>
      <c r="C41" s="14">
        <v>0</v>
      </c>
      <c r="D41" s="14">
        <v>0</v>
      </c>
      <c r="E41" t="s">
        <v>493</v>
      </c>
      <c r="F41" t="s">
        <v>493</v>
      </c>
    </row>
    <row r="42" spans="1:12">
      <c r="A42" t="s">
        <v>972</v>
      </c>
      <c r="B42" s="14">
        <v>0</v>
      </c>
      <c r="C42" s="14">
        <v>0</v>
      </c>
      <c r="D42" s="14">
        <v>0</v>
      </c>
      <c r="E42" t="s">
        <v>493</v>
      </c>
      <c r="F42" t="s">
        <v>493</v>
      </c>
    </row>
    <row r="43" spans="1:12">
      <c r="A43" t="s">
        <v>972</v>
      </c>
      <c r="B43" s="14">
        <v>0</v>
      </c>
      <c r="C43" s="14">
        <v>0</v>
      </c>
      <c r="D43" s="14">
        <v>0</v>
      </c>
      <c r="E43" t="s">
        <v>493</v>
      </c>
      <c r="F43" t="s">
        <v>493</v>
      </c>
    </row>
    <row r="44" spans="1:12">
      <c r="A44" t="s">
        <v>972</v>
      </c>
      <c r="B44" s="14">
        <v>0</v>
      </c>
      <c r="C44" s="14">
        <v>0</v>
      </c>
      <c r="D44" s="14">
        <v>0</v>
      </c>
      <c r="E44" t="s">
        <v>493</v>
      </c>
      <c r="F44" t="s">
        <v>493</v>
      </c>
    </row>
    <row r="45" spans="1:12">
      <c r="A45" t="s">
        <v>972</v>
      </c>
      <c r="B45" s="14">
        <v>0</v>
      </c>
      <c r="C45" s="14">
        <v>0</v>
      </c>
      <c r="D45" s="14">
        <v>0</v>
      </c>
      <c r="E45" t="s">
        <v>493</v>
      </c>
      <c r="F45" t="s">
        <v>493</v>
      </c>
    </row>
    <row r="46" spans="1:12">
      <c r="A46" t="s">
        <v>972</v>
      </c>
      <c r="B46" s="14">
        <v>0</v>
      </c>
      <c r="C46" s="14">
        <v>0</v>
      </c>
      <c r="D46" s="14">
        <v>0</v>
      </c>
      <c r="E46" t="s">
        <v>493</v>
      </c>
      <c r="F46" t="s">
        <v>493</v>
      </c>
    </row>
    <row r="47" spans="1:12">
      <c r="A47" t="s">
        <v>972</v>
      </c>
      <c r="B47" s="14">
        <v>0</v>
      </c>
      <c r="C47" s="14">
        <v>0</v>
      </c>
      <c r="D47" s="14">
        <v>0</v>
      </c>
      <c r="E47" t="s">
        <v>493</v>
      </c>
      <c r="F47" t="s">
        <v>493</v>
      </c>
    </row>
    <row r="48" spans="1:12">
      <c r="A48" t="s">
        <v>972</v>
      </c>
      <c r="B48" s="14">
        <v>0</v>
      </c>
      <c r="C48" s="14">
        <v>0</v>
      </c>
      <c r="D48" s="14">
        <v>0</v>
      </c>
      <c r="E48" t="s">
        <v>493</v>
      </c>
      <c r="F48" t="s">
        <v>493</v>
      </c>
    </row>
    <row r="49" spans="1:14">
      <c r="A49" t="s">
        <v>972</v>
      </c>
      <c r="B49" s="14">
        <v>0</v>
      </c>
      <c r="C49" s="14">
        <v>2000</v>
      </c>
      <c r="D49" s="14">
        <v>2000</v>
      </c>
      <c r="E49" t="s">
        <v>493</v>
      </c>
      <c r="F49" t="s">
        <v>510</v>
      </c>
    </row>
    <row r="50" spans="1:14">
      <c r="A50" t="s">
        <v>972</v>
      </c>
      <c r="B50" s="14">
        <v>10</v>
      </c>
      <c r="C50" s="14">
        <v>0</v>
      </c>
      <c r="D50" s="14">
        <v>10</v>
      </c>
      <c r="E50" t="s">
        <v>493</v>
      </c>
      <c r="F50" t="s">
        <v>493</v>
      </c>
    </row>
    <row r="51" spans="1:14">
      <c r="A51" t="s">
        <v>972</v>
      </c>
      <c r="B51" s="14">
        <v>300</v>
      </c>
      <c r="C51" s="14">
        <v>0</v>
      </c>
      <c r="D51" s="14">
        <v>300</v>
      </c>
      <c r="E51" t="s">
        <v>493</v>
      </c>
      <c r="F51" t="s">
        <v>493</v>
      </c>
    </row>
    <row r="52" spans="1:14">
      <c r="A52" t="s">
        <v>972</v>
      </c>
      <c r="B52" s="14">
        <v>407</v>
      </c>
      <c r="C52" s="14">
        <v>0</v>
      </c>
      <c r="D52" s="14">
        <v>407</v>
      </c>
      <c r="E52" t="s">
        <v>493</v>
      </c>
      <c r="F52" t="s">
        <v>493</v>
      </c>
    </row>
    <row r="53" spans="1:14">
      <c r="A53" t="s">
        <v>972</v>
      </c>
      <c r="B53" s="14">
        <v>500</v>
      </c>
      <c r="C53" s="14">
        <v>0</v>
      </c>
      <c r="D53" s="14">
        <v>500</v>
      </c>
      <c r="E53" t="s">
        <v>493</v>
      </c>
      <c r="F53" t="s">
        <v>493</v>
      </c>
    </row>
    <row r="54" spans="1:14">
      <c r="A54" t="s">
        <v>972</v>
      </c>
      <c r="B54" s="14">
        <v>500</v>
      </c>
      <c r="C54" s="14">
        <v>0</v>
      </c>
      <c r="D54" s="14">
        <v>500</v>
      </c>
      <c r="E54" t="s">
        <v>493</v>
      </c>
      <c r="F54" t="s">
        <v>493</v>
      </c>
    </row>
    <row r="55" spans="1:14">
      <c r="A55" t="s">
        <v>972</v>
      </c>
      <c r="B55" s="14">
        <v>500</v>
      </c>
      <c r="C55" s="14">
        <v>500</v>
      </c>
      <c r="D55" s="14">
        <v>1000</v>
      </c>
      <c r="E55" t="s">
        <v>535</v>
      </c>
      <c r="F55" t="s">
        <v>493</v>
      </c>
    </row>
    <row r="56" spans="1:14">
      <c r="A56" t="s">
        <v>972</v>
      </c>
      <c r="B56" s="14">
        <v>1000</v>
      </c>
      <c r="C56" s="14">
        <v>0</v>
      </c>
      <c r="D56" s="14">
        <v>1000</v>
      </c>
      <c r="E56" t="s">
        <v>493</v>
      </c>
      <c r="F56" t="s">
        <v>493</v>
      </c>
    </row>
    <row r="57" spans="1:14">
      <c r="A57" t="s">
        <v>972</v>
      </c>
      <c r="B57" s="14">
        <v>1000</v>
      </c>
      <c r="C57" s="14">
        <v>0</v>
      </c>
      <c r="D57" s="14">
        <v>1000</v>
      </c>
      <c r="E57" t="s">
        <v>493</v>
      </c>
      <c r="F57" t="s">
        <v>493</v>
      </c>
    </row>
    <row r="58" spans="1:14">
      <c r="A58" t="s">
        <v>972</v>
      </c>
      <c r="B58" s="14">
        <v>1000</v>
      </c>
      <c r="C58" s="14">
        <v>0</v>
      </c>
      <c r="D58" s="14">
        <v>1000</v>
      </c>
      <c r="E58" t="s">
        <v>493</v>
      </c>
      <c r="F58" t="s">
        <v>493</v>
      </c>
    </row>
    <row r="59" spans="1:14" ht="15" thickBot="1">
      <c r="A59" t="s">
        <v>972</v>
      </c>
      <c r="B59" s="14">
        <v>1000</v>
      </c>
      <c r="C59" s="14">
        <v>0</v>
      </c>
      <c r="D59" s="14">
        <v>1000</v>
      </c>
      <c r="E59" t="s">
        <v>493</v>
      </c>
      <c r="F59" t="s">
        <v>493</v>
      </c>
    </row>
    <row r="60" spans="1:14" ht="23.4" thickBot="1">
      <c r="A60" t="s">
        <v>972</v>
      </c>
      <c r="B60" s="14">
        <v>2000</v>
      </c>
      <c r="C60" s="14">
        <v>0</v>
      </c>
      <c r="D60" s="14">
        <v>2000</v>
      </c>
      <c r="E60" t="s">
        <v>493</v>
      </c>
      <c r="F60" t="s">
        <v>493</v>
      </c>
      <c r="H60" s="47" t="s">
        <v>1355</v>
      </c>
      <c r="I60" s="48" t="s">
        <v>978</v>
      </c>
      <c r="J60" s="48" t="s">
        <v>1255</v>
      </c>
      <c r="K60" s="48" t="s">
        <v>1256</v>
      </c>
      <c r="L60" s="48" t="s">
        <v>1257</v>
      </c>
      <c r="M60" s="48" t="s">
        <v>1265</v>
      </c>
      <c r="N60" s="48"/>
    </row>
    <row r="61" spans="1:14" ht="15" thickBot="1">
      <c r="A61" t="s">
        <v>972</v>
      </c>
      <c r="B61" s="14">
        <v>2000</v>
      </c>
      <c r="C61" s="14">
        <v>0</v>
      </c>
      <c r="D61" s="14">
        <v>2000</v>
      </c>
      <c r="E61" t="s">
        <v>493</v>
      </c>
      <c r="F61" t="s">
        <v>493</v>
      </c>
      <c r="H61" s="53" t="s">
        <v>1258</v>
      </c>
      <c r="I61" s="51" t="s">
        <v>1266</v>
      </c>
      <c r="J61" s="60">
        <v>3</v>
      </c>
      <c r="K61" s="60">
        <v>0</v>
      </c>
      <c r="L61" s="60">
        <v>17</v>
      </c>
      <c r="M61" s="60">
        <v>1</v>
      </c>
      <c r="N61" s="60">
        <f t="shared" ref="N61:N67" si="0">SUM(J61:M61)</f>
        <v>21</v>
      </c>
    </row>
    <row r="62" spans="1:14" ht="15" thickBot="1">
      <c r="A62" t="s">
        <v>972</v>
      </c>
      <c r="B62" s="14">
        <v>2500</v>
      </c>
      <c r="C62" s="14">
        <v>0</v>
      </c>
      <c r="D62" s="14">
        <v>2500</v>
      </c>
      <c r="E62" t="s">
        <v>493</v>
      </c>
      <c r="F62" t="s">
        <v>493</v>
      </c>
      <c r="H62" s="53" t="s">
        <v>1259</v>
      </c>
      <c r="I62" s="51" t="s">
        <v>1267</v>
      </c>
      <c r="J62" s="60">
        <v>2</v>
      </c>
      <c r="K62" s="60">
        <v>1</v>
      </c>
      <c r="L62" s="60">
        <v>14</v>
      </c>
      <c r="M62" s="60">
        <v>0</v>
      </c>
      <c r="N62" s="60">
        <f t="shared" si="0"/>
        <v>17</v>
      </c>
    </row>
    <row r="63" spans="1:14" ht="15" thickBot="1">
      <c r="A63" t="s">
        <v>972</v>
      </c>
      <c r="B63" s="14">
        <v>3000</v>
      </c>
      <c r="C63" s="14">
        <v>0</v>
      </c>
      <c r="D63" s="14">
        <v>3000</v>
      </c>
      <c r="E63" t="s">
        <v>493</v>
      </c>
      <c r="F63" t="s">
        <v>493</v>
      </c>
      <c r="H63" s="53" t="s">
        <v>1260</v>
      </c>
      <c r="I63" s="51" t="s">
        <v>1268</v>
      </c>
      <c r="J63" s="60">
        <v>13</v>
      </c>
      <c r="K63" s="60">
        <v>4</v>
      </c>
      <c r="L63" s="60">
        <v>21</v>
      </c>
      <c r="M63" s="60">
        <v>0</v>
      </c>
      <c r="N63" s="60">
        <f t="shared" si="0"/>
        <v>38</v>
      </c>
    </row>
    <row r="64" spans="1:14" ht="15" thickBot="1">
      <c r="A64" t="s">
        <v>972</v>
      </c>
      <c r="B64" s="14">
        <v>3000</v>
      </c>
      <c r="C64" s="14">
        <v>0</v>
      </c>
      <c r="D64" s="14">
        <v>3000</v>
      </c>
      <c r="E64" t="s">
        <v>493</v>
      </c>
      <c r="F64" t="s">
        <v>493</v>
      </c>
      <c r="H64" s="53" t="s">
        <v>1261</v>
      </c>
      <c r="I64" s="51" t="s">
        <v>1229</v>
      </c>
      <c r="J64" s="60">
        <v>3</v>
      </c>
      <c r="K64" s="60">
        <v>2</v>
      </c>
      <c r="L64" s="60">
        <v>4</v>
      </c>
      <c r="M64" s="60">
        <v>0</v>
      </c>
      <c r="N64" s="60">
        <f t="shared" si="0"/>
        <v>9</v>
      </c>
    </row>
    <row r="65" spans="1:14" ht="15" thickBot="1">
      <c r="A65" t="s">
        <v>972</v>
      </c>
      <c r="B65" s="14">
        <v>3800</v>
      </c>
      <c r="C65" s="14">
        <v>100000</v>
      </c>
      <c r="D65" s="14">
        <v>103800</v>
      </c>
      <c r="E65" t="s">
        <v>493</v>
      </c>
      <c r="F65" t="s">
        <v>493</v>
      </c>
      <c r="H65" s="53" t="s">
        <v>1262</v>
      </c>
      <c r="I65" s="51" t="s">
        <v>1269</v>
      </c>
      <c r="J65" s="60">
        <v>6</v>
      </c>
      <c r="K65" s="60">
        <v>0</v>
      </c>
      <c r="L65" s="60">
        <v>3</v>
      </c>
      <c r="M65" s="60">
        <v>1</v>
      </c>
      <c r="N65" s="60">
        <f t="shared" si="0"/>
        <v>10</v>
      </c>
    </row>
    <row r="66" spans="1:14" ht="15" thickBot="1">
      <c r="A66" t="s">
        <v>972</v>
      </c>
      <c r="B66" s="14">
        <v>5000</v>
      </c>
      <c r="C66" s="14">
        <v>0</v>
      </c>
      <c r="D66" s="14">
        <v>5000</v>
      </c>
      <c r="E66" t="s">
        <v>493</v>
      </c>
      <c r="F66" t="s">
        <v>493</v>
      </c>
      <c r="H66" s="53" t="s">
        <v>1263</v>
      </c>
      <c r="I66" s="51" t="s">
        <v>1270</v>
      </c>
      <c r="J66" s="60">
        <v>1</v>
      </c>
      <c r="K66" s="60">
        <v>0</v>
      </c>
      <c r="L66" s="60">
        <v>0</v>
      </c>
      <c r="M66" s="60">
        <v>1</v>
      </c>
      <c r="N66" s="60">
        <f t="shared" si="0"/>
        <v>2</v>
      </c>
    </row>
    <row r="67" spans="1:14" ht="15" thickBot="1">
      <c r="A67" t="s">
        <v>972</v>
      </c>
      <c r="B67" s="14">
        <v>5000</v>
      </c>
      <c r="C67" s="14">
        <v>0</v>
      </c>
      <c r="D67" s="14">
        <v>5000</v>
      </c>
      <c r="E67" t="s">
        <v>493</v>
      </c>
      <c r="F67" t="s">
        <v>493</v>
      </c>
      <c r="H67" s="53" t="s">
        <v>1264</v>
      </c>
      <c r="I67" s="51" t="s">
        <v>1270</v>
      </c>
      <c r="J67" s="60">
        <v>0</v>
      </c>
      <c r="K67" s="60">
        <v>0</v>
      </c>
      <c r="L67" s="60">
        <v>0</v>
      </c>
      <c r="M67" s="60">
        <v>2</v>
      </c>
      <c r="N67" s="60">
        <f t="shared" si="0"/>
        <v>2</v>
      </c>
    </row>
    <row r="68" spans="1:14">
      <c r="A68" t="s">
        <v>972</v>
      </c>
      <c r="B68" s="14">
        <v>5000</v>
      </c>
      <c r="C68" s="14">
        <v>70000</v>
      </c>
      <c r="D68" s="14">
        <v>75000</v>
      </c>
      <c r="E68" t="s">
        <v>493</v>
      </c>
      <c r="F68" t="s">
        <v>493</v>
      </c>
      <c r="J68">
        <f>SUM(J61:J67)</f>
        <v>28</v>
      </c>
      <c r="K68">
        <f>SUM(K61:K67)</f>
        <v>7</v>
      </c>
      <c r="L68">
        <f>SUM(L61:L67)</f>
        <v>59</v>
      </c>
      <c r="M68">
        <f>SUM(M61:M67)</f>
        <v>5</v>
      </c>
      <c r="N68" s="61">
        <f>SUM(N61:N67)</f>
        <v>99</v>
      </c>
    </row>
    <row r="69" spans="1:14">
      <c r="A69" t="s">
        <v>972</v>
      </c>
      <c r="B69" s="14">
        <v>6000</v>
      </c>
      <c r="C69" s="14">
        <v>0</v>
      </c>
      <c r="D69" s="14">
        <v>6000</v>
      </c>
      <c r="E69" t="s">
        <v>493</v>
      </c>
      <c r="F69" t="s">
        <v>493</v>
      </c>
    </row>
    <row r="70" spans="1:14">
      <c r="A70" t="s">
        <v>972</v>
      </c>
      <c r="B70" s="14">
        <v>10000</v>
      </c>
      <c r="C70" s="14">
        <v>0</v>
      </c>
      <c r="D70" s="14">
        <v>10000</v>
      </c>
      <c r="E70" t="s">
        <v>493</v>
      </c>
      <c r="F70" t="s">
        <v>493</v>
      </c>
    </row>
    <row r="71" spans="1:14">
      <c r="A71" t="s">
        <v>972</v>
      </c>
      <c r="B71" s="14">
        <v>10000</v>
      </c>
      <c r="C71" s="14">
        <v>10000</v>
      </c>
      <c r="D71" s="14">
        <v>20000</v>
      </c>
      <c r="E71" t="s">
        <v>493</v>
      </c>
      <c r="F71" t="s">
        <v>493</v>
      </c>
    </row>
    <row r="72" spans="1:14">
      <c r="A72" t="s">
        <v>972</v>
      </c>
      <c r="B72" s="14">
        <v>15000</v>
      </c>
      <c r="C72" s="14">
        <v>0</v>
      </c>
      <c r="D72" s="14">
        <v>15000</v>
      </c>
      <c r="E72" t="s">
        <v>535</v>
      </c>
      <c r="F72" t="s">
        <v>535</v>
      </c>
    </row>
    <row r="73" spans="1:14">
      <c r="A73" t="s">
        <v>972</v>
      </c>
      <c r="B73" s="14">
        <v>15000</v>
      </c>
      <c r="C73" s="14">
        <v>0</v>
      </c>
      <c r="D73" s="14">
        <v>15000</v>
      </c>
      <c r="E73" t="s">
        <v>493</v>
      </c>
      <c r="F73" t="s">
        <v>493</v>
      </c>
    </row>
    <row r="74" spans="1:14">
      <c r="A74" t="s">
        <v>972</v>
      </c>
      <c r="B74" s="14">
        <v>20000</v>
      </c>
      <c r="C74" s="14">
        <v>0</v>
      </c>
      <c r="D74" s="14">
        <v>20000</v>
      </c>
      <c r="E74" t="s">
        <v>493</v>
      </c>
      <c r="F74" t="s">
        <v>493</v>
      </c>
    </row>
    <row r="75" spans="1:14">
      <c r="A75" t="s">
        <v>972</v>
      </c>
      <c r="B75" s="14">
        <v>20000</v>
      </c>
      <c r="C75" s="14">
        <v>500</v>
      </c>
      <c r="D75" s="14">
        <v>20500</v>
      </c>
      <c r="E75" t="s">
        <v>493</v>
      </c>
      <c r="F75" t="s">
        <v>493</v>
      </c>
    </row>
    <row r="76" spans="1:14">
      <c r="A76" t="s">
        <v>972</v>
      </c>
      <c r="B76" s="14">
        <v>20000</v>
      </c>
      <c r="C76" s="14">
        <v>15000</v>
      </c>
      <c r="D76" s="14">
        <v>35000</v>
      </c>
      <c r="E76" t="s">
        <v>493</v>
      </c>
      <c r="F76" t="s">
        <v>493</v>
      </c>
    </row>
    <row r="77" spans="1:14">
      <c r="A77" t="s">
        <v>972</v>
      </c>
      <c r="B77" s="14">
        <v>20000</v>
      </c>
      <c r="C77" s="14">
        <v>25000</v>
      </c>
      <c r="D77" s="14">
        <v>45000</v>
      </c>
      <c r="E77" t="s">
        <v>493</v>
      </c>
      <c r="F77" t="s">
        <v>510</v>
      </c>
    </row>
    <row r="78" spans="1:14">
      <c r="A78" t="s">
        <v>972</v>
      </c>
      <c r="B78" s="14">
        <v>25000</v>
      </c>
      <c r="C78" s="14">
        <v>0</v>
      </c>
      <c r="D78" s="14">
        <v>25000</v>
      </c>
      <c r="E78" t="s">
        <v>493</v>
      </c>
      <c r="F78" t="s">
        <v>493</v>
      </c>
    </row>
    <row r="79" spans="1:14">
      <c r="A79" t="s">
        <v>972</v>
      </c>
      <c r="B79" s="14">
        <v>25000</v>
      </c>
      <c r="C79" s="14">
        <v>0</v>
      </c>
      <c r="D79" s="14">
        <v>25000</v>
      </c>
      <c r="E79" t="s">
        <v>493</v>
      </c>
      <c r="F79" t="s">
        <v>493</v>
      </c>
    </row>
    <row r="80" spans="1:14">
      <c r="A80" t="s">
        <v>972</v>
      </c>
      <c r="B80" s="14">
        <v>25000</v>
      </c>
      <c r="C80" s="14">
        <v>1000</v>
      </c>
      <c r="D80" s="14">
        <v>26000</v>
      </c>
      <c r="E80" t="s">
        <v>493</v>
      </c>
      <c r="F80" t="s">
        <v>493</v>
      </c>
    </row>
    <row r="81" spans="1:6">
      <c r="A81" t="s">
        <v>972</v>
      </c>
      <c r="B81" s="14">
        <v>25000</v>
      </c>
      <c r="C81" s="14">
        <v>2000</v>
      </c>
      <c r="D81" s="14">
        <v>27000</v>
      </c>
      <c r="E81" t="s">
        <v>493</v>
      </c>
      <c r="F81" t="s">
        <v>493</v>
      </c>
    </row>
    <row r="82" spans="1:6">
      <c r="A82" t="s">
        <v>972</v>
      </c>
      <c r="B82" s="14">
        <v>30000</v>
      </c>
      <c r="C82" s="14">
        <v>0</v>
      </c>
      <c r="D82" s="14">
        <v>30000</v>
      </c>
      <c r="E82" t="s">
        <v>493</v>
      </c>
      <c r="F82" t="s">
        <v>493</v>
      </c>
    </row>
    <row r="83" spans="1:6">
      <c r="A83" t="s">
        <v>972</v>
      </c>
      <c r="B83" s="14">
        <v>35000</v>
      </c>
      <c r="C83" s="14">
        <v>45000</v>
      </c>
      <c r="D83" s="14">
        <v>80000</v>
      </c>
      <c r="E83" t="s">
        <v>493</v>
      </c>
      <c r="F83" t="s">
        <v>493</v>
      </c>
    </row>
    <row r="84" spans="1:6">
      <c r="A84" t="s">
        <v>972</v>
      </c>
      <c r="B84" s="14">
        <v>40000</v>
      </c>
      <c r="C84" s="14">
        <v>0</v>
      </c>
      <c r="D84" s="14">
        <v>40000</v>
      </c>
      <c r="E84" t="s">
        <v>493</v>
      </c>
      <c r="F84" t="s">
        <v>493</v>
      </c>
    </row>
    <row r="85" spans="1:6">
      <c r="A85" t="s">
        <v>972</v>
      </c>
      <c r="B85" s="14">
        <v>40000</v>
      </c>
      <c r="C85" s="14">
        <v>0</v>
      </c>
      <c r="D85" s="14">
        <v>40000</v>
      </c>
      <c r="E85" t="s">
        <v>493</v>
      </c>
      <c r="F85" t="s">
        <v>493</v>
      </c>
    </row>
    <row r="86" spans="1:6">
      <c r="A86" t="s">
        <v>972</v>
      </c>
      <c r="B86" s="14">
        <v>50000</v>
      </c>
      <c r="C86" s="14">
        <v>50000</v>
      </c>
      <c r="D86" s="14">
        <v>100000</v>
      </c>
      <c r="E86" t="s">
        <v>510</v>
      </c>
      <c r="F86" t="s">
        <v>510</v>
      </c>
    </row>
    <row r="87" spans="1:6">
      <c r="A87" t="s">
        <v>972</v>
      </c>
      <c r="B87" s="14">
        <v>50000</v>
      </c>
      <c r="C87" s="14">
        <v>50000</v>
      </c>
      <c r="D87" s="14">
        <v>100000</v>
      </c>
      <c r="E87" t="s">
        <v>493</v>
      </c>
      <c r="F87" t="s">
        <v>510</v>
      </c>
    </row>
    <row r="88" spans="1:6">
      <c r="A88" t="s">
        <v>972</v>
      </c>
      <c r="B88" s="14">
        <v>60000</v>
      </c>
      <c r="C88" s="14">
        <v>3000</v>
      </c>
      <c r="D88" s="14">
        <v>63000</v>
      </c>
      <c r="E88" t="s">
        <v>493</v>
      </c>
      <c r="F88" t="s">
        <v>493</v>
      </c>
    </row>
    <row r="89" spans="1:6">
      <c r="A89" t="s">
        <v>972</v>
      </c>
      <c r="B89" s="14">
        <v>79000</v>
      </c>
      <c r="C89" s="14">
        <v>0</v>
      </c>
      <c r="D89" s="14">
        <v>79000</v>
      </c>
      <c r="E89" t="s">
        <v>493</v>
      </c>
      <c r="F89" t="s">
        <v>493</v>
      </c>
    </row>
    <row r="90" spans="1:6">
      <c r="A90" t="s">
        <v>972</v>
      </c>
      <c r="B90" s="14">
        <v>90000</v>
      </c>
      <c r="C90" s="14">
        <v>0</v>
      </c>
      <c r="D90" s="14">
        <v>90000</v>
      </c>
      <c r="E90" t="s">
        <v>493</v>
      </c>
      <c r="F90" t="s">
        <v>493</v>
      </c>
    </row>
    <row r="91" spans="1:6">
      <c r="A91" t="s">
        <v>972</v>
      </c>
      <c r="B91" s="14">
        <v>100000</v>
      </c>
      <c r="C91" s="14">
        <v>59000</v>
      </c>
      <c r="D91" s="14">
        <v>159000</v>
      </c>
      <c r="E91" t="s">
        <v>493</v>
      </c>
      <c r="F91" t="s">
        <v>493</v>
      </c>
    </row>
    <row r="92" spans="1:6">
      <c r="A92" t="s">
        <v>972</v>
      </c>
      <c r="B92" s="14">
        <v>136000</v>
      </c>
      <c r="C92" s="14">
        <v>70000</v>
      </c>
      <c r="D92" s="14">
        <v>206000</v>
      </c>
      <c r="E92" t="s">
        <v>493</v>
      </c>
      <c r="F92" t="s">
        <v>493</v>
      </c>
    </row>
    <row r="93" spans="1:6">
      <c r="A93" t="s">
        <v>972</v>
      </c>
      <c r="B93" s="14">
        <v>150000</v>
      </c>
      <c r="C93" s="14">
        <v>50000</v>
      </c>
      <c r="D93" s="14">
        <v>200000</v>
      </c>
      <c r="E93" t="s">
        <v>493</v>
      </c>
      <c r="F93" t="s">
        <v>493</v>
      </c>
    </row>
    <row r="94" spans="1:6">
      <c r="A94" t="s">
        <v>972</v>
      </c>
      <c r="B94" s="14">
        <v>170000</v>
      </c>
      <c r="C94" s="14">
        <v>11000</v>
      </c>
      <c r="D94" s="14">
        <v>181000</v>
      </c>
      <c r="E94" t="s">
        <v>493</v>
      </c>
      <c r="F94" t="s">
        <v>493</v>
      </c>
    </row>
    <row r="95" spans="1:6">
      <c r="A95" t="s">
        <v>972</v>
      </c>
      <c r="B95" s="14">
        <v>200000</v>
      </c>
      <c r="C95" s="14">
        <v>0</v>
      </c>
      <c r="D95" s="14">
        <v>200000</v>
      </c>
      <c r="E95" t="s">
        <v>493</v>
      </c>
      <c r="F95" t="s">
        <v>493</v>
      </c>
    </row>
    <row r="96" spans="1:6">
      <c r="A96" t="s">
        <v>972</v>
      </c>
      <c r="B96" s="14">
        <v>200000</v>
      </c>
      <c r="C96" s="14">
        <v>0</v>
      </c>
      <c r="D96" s="14">
        <v>200000</v>
      </c>
      <c r="E96" t="s">
        <v>493</v>
      </c>
      <c r="F96" t="s">
        <v>493</v>
      </c>
    </row>
    <row r="97" spans="1:6">
      <c r="A97" t="s">
        <v>972</v>
      </c>
      <c r="B97" s="14">
        <v>220000</v>
      </c>
      <c r="C97" s="14">
        <v>70000</v>
      </c>
      <c r="D97" s="14">
        <v>290000</v>
      </c>
      <c r="E97" t="s">
        <v>493</v>
      </c>
      <c r="F97" t="s">
        <v>493</v>
      </c>
    </row>
    <row r="98" spans="1:6">
      <c r="A98" t="s">
        <v>954</v>
      </c>
      <c r="B98" s="14">
        <v>0</v>
      </c>
      <c r="C98" s="14">
        <v>0</v>
      </c>
      <c r="D98" s="14">
        <v>0</v>
      </c>
      <c r="E98" t="s">
        <v>493</v>
      </c>
      <c r="F98" t="s">
        <v>493</v>
      </c>
    </row>
    <row r="99" spans="1:6">
      <c r="A99" t="s">
        <v>954</v>
      </c>
      <c r="B99" s="14">
        <v>200000</v>
      </c>
      <c r="C99" s="14">
        <v>1000000</v>
      </c>
      <c r="D99" s="14">
        <v>1200000</v>
      </c>
      <c r="E99" t="s">
        <v>493</v>
      </c>
      <c r="F99" t="s">
        <v>493</v>
      </c>
    </row>
    <row r="100" spans="1:6">
      <c r="A100" t="s">
        <v>954</v>
      </c>
      <c r="B100" s="14">
        <v>700000</v>
      </c>
      <c r="C100" s="14">
        <v>400000</v>
      </c>
      <c r="D100" s="14">
        <v>1100000</v>
      </c>
      <c r="E100" t="s">
        <v>493</v>
      </c>
      <c r="F100" t="s">
        <v>493</v>
      </c>
    </row>
    <row r="101" spans="1:6">
      <c r="A101" t="s">
        <v>954</v>
      </c>
      <c r="B101" s="14">
        <v>1000000</v>
      </c>
      <c r="C101" s="14">
        <v>400000</v>
      </c>
      <c r="D101" s="14">
        <v>1400000</v>
      </c>
      <c r="E101" t="s">
        <v>493</v>
      </c>
      <c r="F101" t="s">
        <v>493</v>
      </c>
    </row>
    <row r="102" spans="1:6">
      <c r="A102" t="s">
        <v>954</v>
      </c>
      <c r="B102" s="14">
        <v>6000000</v>
      </c>
      <c r="C102" s="14">
        <v>5000000</v>
      </c>
      <c r="D102" s="14">
        <v>11000000</v>
      </c>
      <c r="E102" t="s">
        <v>493</v>
      </c>
      <c r="F102" t="s">
        <v>493</v>
      </c>
    </row>
    <row r="103" spans="1:6">
      <c r="B103" s="14"/>
      <c r="C103" s="14"/>
      <c r="D103" s="14"/>
    </row>
    <row r="104" spans="1:6">
      <c r="B104" s="14">
        <f>SUM(B4:B103)</f>
        <v>13307117</v>
      </c>
      <c r="C104" s="14">
        <f>SUM(C4:C103)</f>
        <v>8847000</v>
      </c>
      <c r="D104" s="14">
        <f>SUM(D4:D103)</f>
        <v>22154117</v>
      </c>
    </row>
    <row r="105" spans="1:6">
      <c r="A105" t="s">
        <v>1117</v>
      </c>
      <c r="B105" s="14">
        <f>B104/99</f>
        <v>134415.32323232322</v>
      </c>
      <c r="C105" s="14">
        <f>C104/99</f>
        <v>89363.636363636368</v>
      </c>
      <c r="D105" s="14">
        <f>D104/99</f>
        <v>223778.9595959596</v>
      </c>
    </row>
    <row r="106" spans="1:6">
      <c r="B106" s="14"/>
      <c r="C106" s="14"/>
      <c r="D106" s="14"/>
    </row>
    <row r="107" spans="1:6">
      <c r="A107" t="s">
        <v>1271</v>
      </c>
    </row>
    <row r="108" spans="1:6">
      <c r="B108" s="14">
        <f>SUM(B6:B97)</f>
        <v>5407117</v>
      </c>
      <c r="C108" s="14">
        <f>SUM(C6:C97)</f>
        <v>2047000</v>
      </c>
      <c r="D108" s="14">
        <f>SUM(D6:D97)</f>
        <v>7454117</v>
      </c>
    </row>
    <row r="109" spans="1:6">
      <c r="A109" t="s">
        <v>1117</v>
      </c>
      <c r="B109" s="14">
        <f>B108/94</f>
        <v>57522.521276595748</v>
      </c>
      <c r="C109" s="14">
        <f>C108/94</f>
        <v>21776.59574468085</v>
      </c>
      <c r="D109" s="14">
        <f>D108/94</f>
        <v>79299.117021276601</v>
      </c>
    </row>
  </sheetData>
  <sortState ref="A5:F102">
    <sortCondition ref="A5:A102"/>
    <sortCondition ref="B5:B102"/>
  </sortState>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dimension ref="A1:K103"/>
  <sheetViews>
    <sheetView workbookViewId="0"/>
  </sheetViews>
  <sheetFormatPr defaultRowHeight="14.4"/>
  <cols>
    <col min="1" max="2" width="11.6640625" customWidth="1"/>
    <col min="3" max="3" width="13.44140625" customWidth="1"/>
    <col min="4" max="4" width="12.88671875" customWidth="1"/>
    <col min="5" max="5" width="15" customWidth="1"/>
    <col min="7" max="7" width="27" customWidth="1"/>
    <col min="8" max="8" width="10.109375" customWidth="1"/>
    <col min="9" max="9" width="10.5546875" customWidth="1"/>
    <col min="10" max="10" width="10.44140625" customWidth="1"/>
    <col min="11" max="11" width="11.33203125" customWidth="1"/>
  </cols>
  <sheetData>
    <row r="1" spans="1:11">
      <c r="A1" s="3" t="s">
        <v>1423</v>
      </c>
    </row>
    <row r="2" spans="1:11">
      <c r="A2" s="3" t="s">
        <v>1424</v>
      </c>
    </row>
    <row r="4" spans="1:11">
      <c r="B4" t="s">
        <v>897</v>
      </c>
      <c r="C4" t="s">
        <v>898</v>
      </c>
      <c r="D4" t="s">
        <v>899</v>
      </c>
      <c r="E4" t="s">
        <v>900</v>
      </c>
      <c r="G4" t="s">
        <v>1153</v>
      </c>
    </row>
    <row r="5" spans="1:11">
      <c r="A5" t="s">
        <v>974</v>
      </c>
      <c r="B5">
        <v>10</v>
      </c>
      <c r="C5">
        <v>90</v>
      </c>
      <c r="D5">
        <v>80</v>
      </c>
      <c r="E5">
        <v>20</v>
      </c>
    </row>
    <row r="6" spans="1:11">
      <c r="A6" t="s">
        <v>974</v>
      </c>
      <c r="B6">
        <v>10</v>
      </c>
      <c r="C6">
        <v>90</v>
      </c>
      <c r="D6">
        <v>10</v>
      </c>
      <c r="E6">
        <v>90</v>
      </c>
      <c r="G6" t="s">
        <v>1154</v>
      </c>
      <c r="H6" s="15">
        <f>B103/97</f>
        <v>43.268041237113401</v>
      </c>
    </row>
    <row r="7" spans="1:11">
      <c r="A7" t="s">
        <v>974</v>
      </c>
      <c r="B7">
        <v>10</v>
      </c>
      <c r="C7">
        <v>90</v>
      </c>
      <c r="D7">
        <v>90</v>
      </c>
      <c r="E7">
        <v>10</v>
      </c>
      <c r="G7" t="s">
        <v>1155</v>
      </c>
      <c r="H7" s="15">
        <f>C103/97</f>
        <v>56.731958762886599</v>
      </c>
    </row>
    <row r="8" spans="1:11">
      <c r="A8" t="s">
        <v>974</v>
      </c>
      <c r="B8">
        <v>10</v>
      </c>
      <c r="C8">
        <v>90</v>
      </c>
      <c r="D8">
        <v>80</v>
      </c>
      <c r="E8">
        <v>20</v>
      </c>
      <c r="H8" s="15"/>
    </row>
    <row r="9" spans="1:11">
      <c r="A9" t="s">
        <v>974</v>
      </c>
      <c r="B9">
        <v>20</v>
      </c>
      <c r="C9">
        <v>80</v>
      </c>
      <c r="D9">
        <v>80</v>
      </c>
      <c r="E9">
        <v>20</v>
      </c>
      <c r="G9" t="s">
        <v>1157</v>
      </c>
      <c r="H9" s="15">
        <f>D103/97</f>
        <v>66.948453608247419</v>
      </c>
    </row>
    <row r="10" spans="1:11">
      <c r="A10" t="s">
        <v>974</v>
      </c>
      <c r="B10">
        <v>25</v>
      </c>
      <c r="C10">
        <v>75</v>
      </c>
      <c r="D10">
        <v>0</v>
      </c>
      <c r="E10">
        <v>100</v>
      </c>
      <c r="G10" t="s">
        <v>1156</v>
      </c>
      <c r="H10" s="15">
        <f>E103/97</f>
        <v>32.020618556701031</v>
      </c>
    </row>
    <row r="11" spans="1:11">
      <c r="A11" t="s">
        <v>974</v>
      </c>
      <c r="B11">
        <v>25</v>
      </c>
      <c r="C11">
        <v>75</v>
      </c>
      <c r="D11">
        <v>10</v>
      </c>
      <c r="E11">
        <v>90</v>
      </c>
    </row>
    <row r="12" spans="1:11">
      <c r="A12" t="s">
        <v>974</v>
      </c>
      <c r="B12">
        <v>25</v>
      </c>
      <c r="C12">
        <v>75</v>
      </c>
      <c r="D12">
        <v>25</v>
      </c>
      <c r="E12">
        <v>75</v>
      </c>
      <c r="G12" t="s">
        <v>1158</v>
      </c>
    </row>
    <row r="13" spans="1:11">
      <c r="A13" t="s">
        <v>974</v>
      </c>
      <c r="B13">
        <v>30</v>
      </c>
      <c r="C13">
        <v>70</v>
      </c>
      <c r="D13">
        <v>90</v>
      </c>
      <c r="E13">
        <v>10</v>
      </c>
      <c r="H13" t="s">
        <v>1142</v>
      </c>
      <c r="I13" t="s">
        <v>1099</v>
      </c>
      <c r="J13" t="s">
        <v>1159</v>
      </c>
      <c r="K13" t="s">
        <v>1101</v>
      </c>
    </row>
    <row r="14" spans="1:11">
      <c r="A14" t="s">
        <v>974</v>
      </c>
      <c r="B14">
        <v>40</v>
      </c>
      <c r="C14">
        <v>60</v>
      </c>
      <c r="D14">
        <v>80</v>
      </c>
      <c r="E14">
        <v>20</v>
      </c>
      <c r="G14" t="s">
        <v>1154</v>
      </c>
      <c r="H14" s="30">
        <f>1330/28</f>
        <v>47.5</v>
      </c>
      <c r="I14" s="30">
        <f>425/7</f>
        <v>60.714285714285715</v>
      </c>
      <c r="J14" s="30">
        <f>2177/57</f>
        <v>38.192982456140349</v>
      </c>
      <c r="K14" s="30">
        <f>265/5</f>
        <v>53</v>
      </c>
    </row>
    <row r="15" spans="1:11">
      <c r="A15" t="s">
        <v>974</v>
      </c>
      <c r="B15">
        <v>40</v>
      </c>
      <c r="C15">
        <v>60</v>
      </c>
      <c r="D15">
        <v>60</v>
      </c>
      <c r="E15">
        <v>40</v>
      </c>
      <c r="G15" t="s">
        <v>1155</v>
      </c>
      <c r="H15" s="30">
        <f>1470/28</f>
        <v>52.5</v>
      </c>
      <c r="I15" s="30">
        <f>275/7</f>
        <v>39.285714285714285</v>
      </c>
      <c r="J15" s="30">
        <f>3523/57</f>
        <v>61.807017543859651</v>
      </c>
      <c r="K15" s="30">
        <f>235/5</f>
        <v>47</v>
      </c>
    </row>
    <row r="16" spans="1:11">
      <c r="A16" t="s">
        <v>974</v>
      </c>
      <c r="B16">
        <v>40</v>
      </c>
      <c r="C16">
        <v>60</v>
      </c>
      <c r="D16">
        <v>90</v>
      </c>
      <c r="E16">
        <v>10</v>
      </c>
      <c r="H16" s="42">
        <f>SUM(H14:H15)</f>
        <v>100</v>
      </c>
      <c r="I16" s="42">
        <f>SUM(I14:I15)</f>
        <v>100</v>
      </c>
      <c r="J16" s="42">
        <f>SUM(J14:J15)</f>
        <v>100</v>
      </c>
      <c r="K16" s="42">
        <f>SUM(K14:K15)</f>
        <v>100</v>
      </c>
    </row>
    <row r="17" spans="1:11">
      <c r="A17" t="s">
        <v>974</v>
      </c>
      <c r="B17">
        <v>50</v>
      </c>
      <c r="C17">
        <v>50</v>
      </c>
      <c r="D17">
        <v>0</v>
      </c>
      <c r="E17">
        <v>100</v>
      </c>
    </row>
    <row r="18" spans="1:11">
      <c r="A18" t="s">
        <v>974</v>
      </c>
      <c r="B18">
        <v>50</v>
      </c>
      <c r="C18">
        <v>50</v>
      </c>
      <c r="D18">
        <v>50</v>
      </c>
      <c r="E18">
        <v>50</v>
      </c>
      <c r="G18" t="s">
        <v>1158</v>
      </c>
    </row>
    <row r="19" spans="1:11">
      <c r="A19" t="s">
        <v>974</v>
      </c>
      <c r="B19">
        <v>50</v>
      </c>
      <c r="C19">
        <v>50</v>
      </c>
      <c r="D19">
        <v>50</v>
      </c>
      <c r="E19">
        <v>50</v>
      </c>
      <c r="H19" t="s">
        <v>1142</v>
      </c>
      <c r="I19" t="s">
        <v>1099</v>
      </c>
      <c r="J19" t="s">
        <v>1159</v>
      </c>
      <c r="K19" t="s">
        <v>1101</v>
      </c>
    </row>
    <row r="20" spans="1:11">
      <c r="A20" t="s">
        <v>974</v>
      </c>
      <c r="B20">
        <v>50</v>
      </c>
      <c r="C20">
        <v>50</v>
      </c>
      <c r="D20">
        <v>90</v>
      </c>
      <c r="E20">
        <v>10</v>
      </c>
      <c r="G20" t="s">
        <v>1157</v>
      </c>
      <c r="H20" s="30">
        <f>1375/28</f>
        <v>49.107142857142854</v>
      </c>
      <c r="I20" s="30">
        <f>470/7</f>
        <v>67.142857142857139</v>
      </c>
      <c r="J20" s="30">
        <f>4309/56</f>
        <v>76.946428571428569</v>
      </c>
      <c r="K20" s="30">
        <f>340/5</f>
        <v>68</v>
      </c>
    </row>
    <row r="21" spans="1:11">
      <c r="A21" t="s">
        <v>974</v>
      </c>
      <c r="B21">
        <v>50</v>
      </c>
      <c r="C21">
        <v>50</v>
      </c>
      <c r="D21">
        <v>20</v>
      </c>
      <c r="E21">
        <v>80</v>
      </c>
      <c r="G21" t="s">
        <v>1156</v>
      </c>
      <c r="H21" s="30">
        <f>1425/28</f>
        <v>50.892857142857146</v>
      </c>
      <c r="I21" s="30">
        <f>230/7</f>
        <v>32.857142857142854</v>
      </c>
      <c r="J21" s="30">
        <f>1291/56</f>
        <v>23.053571428571427</v>
      </c>
      <c r="K21" s="30">
        <f>160/5</f>
        <v>32</v>
      </c>
    </row>
    <row r="22" spans="1:11">
      <c r="A22" t="s">
        <v>974</v>
      </c>
      <c r="B22">
        <v>50</v>
      </c>
      <c r="C22">
        <v>50</v>
      </c>
      <c r="D22">
        <v>75</v>
      </c>
      <c r="E22">
        <v>25</v>
      </c>
      <c r="H22" s="42">
        <f>SUM(H20:H21)</f>
        <v>100</v>
      </c>
      <c r="I22" s="42">
        <f>SUM(I20:I21)</f>
        <v>100</v>
      </c>
      <c r="J22" s="42">
        <f>SUM(J20:J21)</f>
        <v>100</v>
      </c>
      <c r="K22" s="42">
        <f>SUM(K20:K21)</f>
        <v>100</v>
      </c>
    </row>
    <row r="23" spans="1:11">
      <c r="A23" t="s">
        <v>974</v>
      </c>
      <c r="B23">
        <v>60</v>
      </c>
      <c r="C23">
        <v>40</v>
      </c>
      <c r="D23">
        <v>10</v>
      </c>
      <c r="E23">
        <v>90</v>
      </c>
    </row>
    <row r="24" spans="1:11">
      <c r="A24" t="s">
        <v>974</v>
      </c>
      <c r="B24">
        <v>60</v>
      </c>
      <c r="C24">
        <v>40</v>
      </c>
      <c r="D24">
        <v>80</v>
      </c>
      <c r="E24">
        <v>20</v>
      </c>
    </row>
    <row r="25" spans="1:11">
      <c r="A25" t="s">
        <v>974</v>
      </c>
      <c r="B25">
        <v>65</v>
      </c>
      <c r="C25">
        <v>35</v>
      </c>
      <c r="D25">
        <v>40</v>
      </c>
      <c r="E25">
        <v>60</v>
      </c>
    </row>
    <row r="26" spans="1:11">
      <c r="A26" t="s">
        <v>974</v>
      </c>
      <c r="B26">
        <v>70</v>
      </c>
      <c r="C26">
        <v>30</v>
      </c>
      <c r="D26">
        <v>50</v>
      </c>
      <c r="E26">
        <v>50</v>
      </c>
    </row>
    <row r="27" spans="1:11">
      <c r="A27" t="s">
        <v>974</v>
      </c>
      <c r="B27">
        <v>75</v>
      </c>
      <c r="C27">
        <v>25</v>
      </c>
      <c r="D27">
        <v>90</v>
      </c>
      <c r="E27">
        <v>10</v>
      </c>
    </row>
    <row r="28" spans="1:11">
      <c r="A28" t="s">
        <v>974</v>
      </c>
      <c r="B28">
        <v>75</v>
      </c>
      <c r="C28">
        <v>25</v>
      </c>
      <c r="D28">
        <v>50</v>
      </c>
      <c r="E28">
        <v>50</v>
      </c>
    </row>
    <row r="29" spans="1:11">
      <c r="A29" t="s">
        <v>974</v>
      </c>
      <c r="B29">
        <v>80</v>
      </c>
      <c r="C29">
        <v>20</v>
      </c>
      <c r="D29">
        <v>10</v>
      </c>
      <c r="E29">
        <v>90</v>
      </c>
    </row>
    <row r="30" spans="1:11">
      <c r="A30" t="s">
        <v>974</v>
      </c>
      <c r="B30">
        <v>80</v>
      </c>
      <c r="C30">
        <v>20</v>
      </c>
      <c r="D30">
        <v>50</v>
      </c>
      <c r="E30">
        <v>50</v>
      </c>
    </row>
    <row r="31" spans="1:11">
      <c r="A31" t="s">
        <v>974</v>
      </c>
      <c r="B31">
        <v>90</v>
      </c>
      <c r="C31">
        <v>10</v>
      </c>
      <c r="D31">
        <v>10</v>
      </c>
      <c r="E31">
        <v>90</v>
      </c>
    </row>
    <row r="32" spans="1:11">
      <c r="A32" t="s">
        <v>974</v>
      </c>
      <c r="B32">
        <v>90</v>
      </c>
      <c r="C32">
        <v>10</v>
      </c>
      <c r="D32">
        <v>5</v>
      </c>
      <c r="E32">
        <v>95</v>
      </c>
    </row>
    <row r="33" spans="1:5">
      <c r="A33" t="s">
        <v>973</v>
      </c>
      <c r="B33">
        <v>30</v>
      </c>
      <c r="C33">
        <v>70</v>
      </c>
      <c r="D33">
        <v>20</v>
      </c>
      <c r="E33">
        <v>80</v>
      </c>
    </row>
    <row r="34" spans="1:5">
      <c r="A34" t="s">
        <v>973</v>
      </c>
      <c r="B34">
        <v>40</v>
      </c>
      <c r="C34">
        <v>60</v>
      </c>
      <c r="D34">
        <v>40</v>
      </c>
      <c r="E34">
        <v>60</v>
      </c>
    </row>
    <row r="35" spans="1:5">
      <c r="A35" t="s">
        <v>973</v>
      </c>
      <c r="B35">
        <v>50</v>
      </c>
      <c r="C35">
        <v>50</v>
      </c>
      <c r="D35">
        <v>50</v>
      </c>
      <c r="E35">
        <v>50</v>
      </c>
    </row>
    <row r="36" spans="1:5">
      <c r="A36" t="s">
        <v>973</v>
      </c>
      <c r="B36">
        <v>50</v>
      </c>
      <c r="C36">
        <v>50</v>
      </c>
      <c r="D36">
        <v>90</v>
      </c>
      <c r="E36">
        <v>10</v>
      </c>
    </row>
    <row r="37" spans="1:5">
      <c r="A37" t="s">
        <v>973</v>
      </c>
      <c r="B37">
        <v>80</v>
      </c>
      <c r="C37">
        <v>20</v>
      </c>
      <c r="D37">
        <v>80</v>
      </c>
      <c r="E37">
        <v>20</v>
      </c>
    </row>
    <row r="38" spans="1:5">
      <c r="A38" t="s">
        <v>973</v>
      </c>
      <c r="B38">
        <v>80</v>
      </c>
      <c r="C38">
        <v>20</v>
      </c>
      <c r="D38">
        <v>95</v>
      </c>
      <c r="E38">
        <v>5</v>
      </c>
    </row>
    <row r="39" spans="1:5">
      <c r="A39" t="s">
        <v>973</v>
      </c>
      <c r="B39">
        <v>95</v>
      </c>
      <c r="C39">
        <v>5</v>
      </c>
      <c r="D39">
        <v>95</v>
      </c>
      <c r="E39">
        <v>5</v>
      </c>
    </row>
    <row r="40" spans="1:5">
      <c r="A40" t="s">
        <v>972</v>
      </c>
      <c r="B40">
        <v>0</v>
      </c>
      <c r="C40">
        <v>100</v>
      </c>
      <c r="D40">
        <v>90</v>
      </c>
      <c r="E40">
        <v>10</v>
      </c>
    </row>
    <row r="41" spans="1:5">
      <c r="A41" t="s">
        <v>972</v>
      </c>
      <c r="B41">
        <v>0</v>
      </c>
      <c r="C41">
        <v>100</v>
      </c>
      <c r="D41">
        <v>100</v>
      </c>
      <c r="E41">
        <v>0</v>
      </c>
    </row>
    <row r="42" spans="1:5">
      <c r="A42" t="s">
        <v>972</v>
      </c>
      <c r="B42">
        <v>0</v>
      </c>
      <c r="C42">
        <v>100</v>
      </c>
      <c r="D42">
        <v>10</v>
      </c>
      <c r="E42">
        <v>90</v>
      </c>
    </row>
    <row r="43" spans="1:5">
      <c r="A43" t="s">
        <v>972</v>
      </c>
      <c r="B43">
        <v>0</v>
      </c>
      <c r="C43">
        <v>100</v>
      </c>
      <c r="D43">
        <v>100</v>
      </c>
      <c r="E43">
        <v>0</v>
      </c>
    </row>
    <row r="44" spans="1:5">
      <c r="A44" t="s">
        <v>972</v>
      </c>
      <c r="B44">
        <v>0</v>
      </c>
      <c r="C44">
        <v>100</v>
      </c>
      <c r="D44">
        <v>70</v>
      </c>
      <c r="E44">
        <v>30</v>
      </c>
    </row>
    <row r="45" spans="1:5">
      <c r="A45" t="s">
        <v>972</v>
      </c>
      <c r="B45">
        <v>0</v>
      </c>
      <c r="C45">
        <v>100</v>
      </c>
      <c r="D45">
        <v>60</v>
      </c>
      <c r="E45">
        <v>40</v>
      </c>
    </row>
    <row r="46" spans="1:5">
      <c r="A46" t="s">
        <v>972</v>
      </c>
      <c r="B46">
        <v>1</v>
      </c>
      <c r="C46">
        <v>99</v>
      </c>
      <c r="D46">
        <v>99</v>
      </c>
      <c r="E46">
        <v>1</v>
      </c>
    </row>
    <row r="47" spans="1:5">
      <c r="A47" t="s">
        <v>972</v>
      </c>
      <c r="B47">
        <v>1</v>
      </c>
      <c r="C47">
        <v>99</v>
      </c>
      <c r="D47">
        <v>100</v>
      </c>
      <c r="E47">
        <v>0</v>
      </c>
    </row>
    <row r="48" spans="1:5">
      <c r="A48" t="s">
        <v>972</v>
      </c>
      <c r="B48">
        <v>5</v>
      </c>
      <c r="C48">
        <v>95</v>
      </c>
      <c r="D48">
        <v>95</v>
      </c>
      <c r="E48">
        <v>5</v>
      </c>
    </row>
    <row r="49" spans="1:5">
      <c r="A49" t="s">
        <v>972</v>
      </c>
      <c r="B49">
        <v>10</v>
      </c>
      <c r="C49">
        <v>90</v>
      </c>
      <c r="D49">
        <v>90</v>
      </c>
      <c r="E49">
        <v>10</v>
      </c>
    </row>
    <row r="50" spans="1:5">
      <c r="A50" t="s">
        <v>972</v>
      </c>
      <c r="B50">
        <v>10</v>
      </c>
      <c r="C50">
        <v>90</v>
      </c>
      <c r="D50">
        <v>100</v>
      </c>
      <c r="E50">
        <v>0</v>
      </c>
    </row>
    <row r="51" spans="1:5">
      <c r="A51" t="s">
        <v>972</v>
      </c>
      <c r="B51">
        <v>10</v>
      </c>
      <c r="C51">
        <v>90</v>
      </c>
    </row>
    <row r="52" spans="1:5">
      <c r="A52" t="s">
        <v>972</v>
      </c>
      <c r="B52">
        <v>10</v>
      </c>
      <c r="C52">
        <v>90</v>
      </c>
      <c r="D52">
        <v>90</v>
      </c>
      <c r="E52">
        <v>10</v>
      </c>
    </row>
    <row r="53" spans="1:5">
      <c r="A53" t="s">
        <v>972</v>
      </c>
      <c r="B53">
        <v>10</v>
      </c>
      <c r="C53">
        <v>90</v>
      </c>
      <c r="D53">
        <v>10</v>
      </c>
      <c r="E53">
        <v>90</v>
      </c>
    </row>
    <row r="54" spans="1:5">
      <c r="A54" t="s">
        <v>972</v>
      </c>
      <c r="B54">
        <v>10</v>
      </c>
      <c r="C54">
        <v>90</v>
      </c>
      <c r="D54">
        <v>100</v>
      </c>
      <c r="E54">
        <v>0</v>
      </c>
    </row>
    <row r="55" spans="1:5">
      <c r="A55" t="s">
        <v>972</v>
      </c>
      <c r="B55">
        <v>10</v>
      </c>
      <c r="C55">
        <v>90</v>
      </c>
      <c r="D55">
        <v>95</v>
      </c>
      <c r="E55">
        <v>5</v>
      </c>
    </row>
    <row r="56" spans="1:5">
      <c r="A56" t="s">
        <v>972</v>
      </c>
      <c r="B56">
        <v>10</v>
      </c>
      <c r="C56">
        <v>90</v>
      </c>
      <c r="D56">
        <v>100</v>
      </c>
      <c r="E56">
        <v>0</v>
      </c>
    </row>
    <row r="57" spans="1:5">
      <c r="A57" t="s">
        <v>972</v>
      </c>
      <c r="B57">
        <v>15</v>
      </c>
      <c r="C57">
        <v>85</v>
      </c>
      <c r="D57">
        <v>80</v>
      </c>
      <c r="E57">
        <v>20</v>
      </c>
    </row>
    <row r="58" spans="1:5">
      <c r="A58" t="s">
        <v>972</v>
      </c>
      <c r="B58">
        <v>15</v>
      </c>
      <c r="C58">
        <v>85</v>
      </c>
      <c r="D58">
        <v>75</v>
      </c>
      <c r="E58">
        <v>25</v>
      </c>
    </row>
    <row r="59" spans="1:5">
      <c r="A59" t="s">
        <v>972</v>
      </c>
      <c r="B59">
        <v>15</v>
      </c>
      <c r="C59">
        <v>85</v>
      </c>
      <c r="D59">
        <v>5</v>
      </c>
      <c r="E59">
        <v>95</v>
      </c>
    </row>
    <row r="60" spans="1:5">
      <c r="A60" t="s">
        <v>972</v>
      </c>
      <c r="B60">
        <v>20</v>
      </c>
      <c r="C60">
        <v>80</v>
      </c>
      <c r="D60">
        <v>30</v>
      </c>
      <c r="E60">
        <v>70</v>
      </c>
    </row>
    <row r="61" spans="1:5">
      <c r="A61" t="s">
        <v>972</v>
      </c>
      <c r="B61">
        <v>20</v>
      </c>
      <c r="C61">
        <v>80</v>
      </c>
      <c r="D61">
        <v>90</v>
      </c>
      <c r="E61">
        <v>10</v>
      </c>
    </row>
    <row r="62" spans="1:5">
      <c r="A62" t="s">
        <v>972</v>
      </c>
      <c r="B62">
        <v>20</v>
      </c>
      <c r="C62">
        <v>80</v>
      </c>
      <c r="D62">
        <v>65</v>
      </c>
      <c r="E62">
        <v>35</v>
      </c>
    </row>
    <row r="63" spans="1:5">
      <c r="A63" t="s">
        <v>972</v>
      </c>
      <c r="B63">
        <v>20</v>
      </c>
      <c r="C63">
        <v>80</v>
      </c>
      <c r="D63">
        <v>100</v>
      </c>
      <c r="E63">
        <v>0</v>
      </c>
    </row>
    <row r="64" spans="1:5">
      <c r="A64" t="s">
        <v>972</v>
      </c>
      <c r="B64">
        <v>20</v>
      </c>
      <c r="C64">
        <v>80</v>
      </c>
      <c r="D64">
        <v>90</v>
      </c>
      <c r="E64">
        <v>10</v>
      </c>
    </row>
    <row r="65" spans="1:5">
      <c r="A65" t="s">
        <v>972</v>
      </c>
      <c r="B65">
        <v>25</v>
      </c>
      <c r="C65">
        <v>75</v>
      </c>
      <c r="D65">
        <v>80</v>
      </c>
      <c r="E65">
        <v>20</v>
      </c>
    </row>
    <row r="66" spans="1:5">
      <c r="A66" t="s">
        <v>972</v>
      </c>
      <c r="B66">
        <v>25</v>
      </c>
      <c r="C66">
        <v>75</v>
      </c>
      <c r="D66">
        <v>100</v>
      </c>
      <c r="E66">
        <v>0</v>
      </c>
    </row>
    <row r="67" spans="1:5">
      <c r="A67" t="s">
        <v>972</v>
      </c>
      <c r="B67">
        <v>30</v>
      </c>
      <c r="C67">
        <v>70</v>
      </c>
      <c r="D67">
        <v>70</v>
      </c>
      <c r="E67">
        <v>30</v>
      </c>
    </row>
    <row r="68" spans="1:5">
      <c r="A68" t="s">
        <v>972</v>
      </c>
      <c r="B68">
        <v>30</v>
      </c>
      <c r="C68">
        <v>70</v>
      </c>
      <c r="D68">
        <v>70</v>
      </c>
      <c r="E68">
        <v>30</v>
      </c>
    </row>
    <row r="69" spans="1:5">
      <c r="A69" t="s">
        <v>972</v>
      </c>
      <c r="B69">
        <v>30</v>
      </c>
      <c r="C69">
        <v>70</v>
      </c>
      <c r="D69">
        <v>100</v>
      </c>
      <c r="E69">
        <v>0</v>
      </c>
    </row>
    <row r="70" spans="1:5">
      <c r="A70" t="s">
        <v>972</v>
      </c>
      <c r="B70">
        <v>35</v>
      </c>
      <c r="C70">
        <v>65</v>
      </c>
      <c r="D70">
        <v>50</v>
      </c>
      <c r="E70">
        <v>50</v>
      </c>
    </row>
    <row r="71" spans="1:5">
      <c r="A71" t="s">
        <v>972</v>
      </c>
      <c r="B71">
        <v>40</v>
      </c>
      <c r="C71">
        <v>60</v>
      </c>
      <c r="D71">
        <v>70</v>
      </c>
      <c r="E71">
        <v>30</v>
      </c>
    </row>
    <row r="72" spans="1:5">
      <c r="A72" t="s">
        <v>972</v>
      </c>
      <c r="B72">
        <v>40</v>
      </c>
      <c r="C72">
        <v>60</v>
      </c>
      <c r="D72">
        <v>90</v>
      </c>
      <c r="E72">
        <v>10</v>
      </c>
    </row>
    <row r="73" spans="1:5">
      <c r="A73" t="s">
        <v>972</v>
      </c>
      <c r="B73">
        <v>50</v>
      </c>
      <c r="C73">
        <v>50</v>
      </c>
      <c r="D73">
        <v>80</v>
      </c>
      <c r="E73">
        <v>20</v>
      </c>
    </row>
    <row r="74" spans="1:5">
      <c r="A74" t="s">
        <v>972</v>
      </c>
      <c r="B74">
        <v>50</v>
      </c>
      <c r="C74">
        <v>50</v>
      </c>
      <c r="D74">
        <v>100</v>
      </c>
      <c r="E74">
        <v>0</v>
      </c>
    </row>
    <row r="75" spans="1:5">
      <c r="A75" t="s">
        <v>972</v>
      </c>
      <c r="B75">
        <v>50</v>
      </c>
      <c r="C75">
        <v>50</v>
      </c>
      <c r="D75">
        <v>90</v>
      </c>
      <c r="E75">
        <v>10</v>
      </c>
    </row>
    <row r="76" spans="1:5">
      <c r="A76" t="s">
        <v>972</v>
      </c>
      <c r="B76">
        <v>50</v>
      </c>
      <c r="C76">
        <v>50</v>
      </c>
      <c r="D76">
        <v>80</v>
      </c>
      <c r="E76">
        <v>20</v>
      </c>
    </row>
    <row r="77" spans="1:5">
      <c r="A77" t="s">
        <v>972</v>
      </c>
      <c r="B77">
        <v>50</v>
      </c>
      <c r="C77">
        <v>50</v>
      </c>
      <c r="D77">
        <v>85</v>
      </c>
      <c r="E77">
        <v>15</v>
      </c>
    </row>
    <row r="78" spans="1:5">
      <c r="A78" t="s">
        <v>972</v>
      </c>
      <c r="B78">
        <v>50</v>
      </c>
      <c r="C78">
        <v>50</v>
      </c>
      <c r="D78">
        <v>30</v>
      </c>
      <c r="E78">
        <v>70</v>
      </c>
    </row>
    <row r="79" spans="1:5">
      <c r="A79" t="s">
        <v>972</v>
      </c>
      <c r="B79">
        <v>50</v>
      </c>
      <c r="C79">
        <v>50</v>
      </c>
      <c r="D79">
        <v>95</v>
      </c>
      <c r="E79">
        <v>5</v>
      </c>
    </row>
    <row r="80" spans="1:5">
      <c r="A80" t="s">
        <v>972</v>
      </c>
      <c r="B80">
        <v>50</v>
      </c>
      <c r="C80">
        <v>50</v>
      </c>
      <c r="D80">
        <v>100</v>
      </c>
      <c r="E80">
        <v>0</v>
      </c>
    </row>
    <row r="81" spans="1:5">
      <c r="A81" t="s">
        <v>972</v>
      </c>
      <c r="B81">
        <v>60</v>
      </c>
      <c r="C81">
        <v>40</v>
      </c>
      <c r="D81">
        <v>40</v>
      </c>
      <c r="E81">
        <v>60</v>
      </c>
    </row>
    <row r="82" spans="1:5">
      <c r="A82" t="s">
        <v>972</v>
      </c>
      <c r="B82">
        <v>60</v>
      </c>
      <c r="C82">
        <v>40</v>
      </c>
      <c r="D82">
        <v>80</v>
      </c>
      <c r="E82">
        <v>20</v>
      </c>
    </row>
    <row r="83" spans="1:5">
      <c r="A83" t="s">
        <v>972</v>
      </c>
      <c r="B83">
        <v>60</v>
      </c>
      <c r="C83">
        <v>40</v>
      </c>
      <c r="D83">
        <v>100</v>
      </c>
      <c r="E83">
        <v>0</v>
      </c>
    </row>
    <row r="84" spans="1:5">
      <c r="A84" t="s">
        <v>972</v>
      </c>
      <c r="B84">
        <v>70</v>
      </c>
      <c r="C84">
        <v>30</v>
      </c>
      <c r="D84">
        <v>80</v>
      </c>
      <c r="E84">
        <v>20</v>
      </c>
    </row>
    <row r="85" spans="1:5">
      <c r="A85" t="s">
        <v>972</v>
      </c>
      <c r="B85">
        <v>75</v>
      </c>
      <c r="C85">
        <v>25</v>
      </c>
      <c r="D85">
        <v>100</v>
      </c>
      <c r="E85">
        <v>0</v>
      </c>
    </row>
    <row r="86" spans="1:5">
      <c r="A86" t="s">
        <v>972</v>
      </c>
      <c r="B86">
        <v>75</v>
      </c>
      <c r="C86">
        <v>25</v>
      </c>
      <c r="D86">
        <v>80</v>
      </c>
      <c r="E86">
        <v>20</v>
      </c>
    </row>
    <row r="87" spans="1:5">
      <c r="A87" t="s">
        <v>972</v>
      </c>
      <c r="B87">
        <v>80</v>
      </c>
      <c r="C87">
        <v>20</v>
      </c>
      <c r="D87">
        <v>100</v>
      </c>
      <c r="E87">
        <v>0</v>
      </c>
    </row>
    <row r="88" spans="1:5">
      <c r="A88" t="s">
        <v>972</v>
      </c>
      <c r="B88">
        <v>80</v>
      </c>
      <c r="C88">
        <v>20</v>
      </c>
      <c r="D88">
        <v>75</v>
      </c>
      <c r="E88">
        <v>25</v>
      </c>
    </row>
    <row r="89" spans="1:5">
      <c r="A89" t="s">
        <v>972</v>
      </c>
      <c r="B89">
        <v>80</v>
      </c>
      <c r="C89">
        <v>20</v>
      </c>
      <c r="D89">
        <v>80</v>
      </c>
      <c r="E89">
        <v>20</v>
      </c>
    </row>
    <row r="90" spans="1:5">
      <c r="A90" t="s">
        <v>972</v>
      </c>
      <c r="B90">
        <v>80</v>
      </c>
      <c r="C90">
        <v>20</v>
      </c>
      <c r="D90">
        <v>30</v>
      </c>
      <c r="E90">
        <v>70</v>
      </c>
    </row>
    <row r="91" spans="1:5">
      <c r="A91" t="s">
        <v>972</v>
      </c>
      <c r="B91">
        <v>90</v>
      </c>
      <c r="C91">
        <v>10</v>
      </c>
      <c r="D91">
        <v>10</v>
      </c>
      <c r="E91">
        <v>90</v>
      </c>
    </row>
    <row r="92" spans="1:5">
      <c r="A92" t="s">
        <v>972</v>
      </c>
      <c r="B92">
        <v>90</v>
      </c>
      <c r="C92">
        <v>10</v>
      </c>
      <c r="D92">
        <v>100</v>
      </c>
      <c r="E92">
        <v>0</v>
      </c>
    </row>
    <row r="93" spans="1:5">
      <c r="A93" t="s">
        <v>972</v>
      </c>
      <c r="B93">
        <v>90</v>
      </c>
      <c r="C93">
        <v>10</v>
      </c>
      <c r="D93">
        <v>100</v>
      </c>
      <c r="E93">
        <v>0</v>
      </c>
    </row>
    <row r="94" spans="1:5">
      <c r="A94" t="s">
        <v>972</v>
      </c>
      <c r="B94">
        <v>100</v>
      </c>
      <c r="C94">
        <v>0</v>
      </c>
      <c r="D94">
        <v>0</v>
      </c>
      <c r="E94">
        <v>100</v>
      </c>
    </row>
    <row r="95" spans="1:5">
      <c r="A95" t="s">
        <v>972</v>
      </c>
      <c r="B95">
        <v>100</v>
      </c>
      <c r="C95">
        <v>0</v>
      </c>
      <c r="D95">
        <v>100</v>
      </c>
      <c r="E95">
        <v>0</v>
      </c>
    </row>
    <row r="96" spans="1:5">
      <c r="A96" t="s">
        <v>972</v>
      </c>
      <c r="B96">
        <v>100</v>
      </c>
      <c r="C96">
        <v>0</v>
      </c>
      <c r="D96">
        <v>100</v>
      </c>
      <c r="E96">
        <v>0</v>
      </c>
    </row>
    <row r="97" spans="1:5">
      <c r="A97" t="s">
        <v>954</v>
      </c>
      <c r="B97">
        <v>30</v>
      </c>
      <c r="C97">
        <v>70</v>
      </c>
      <c r="D97">
        <v>50</v>
      </c>
      <c r="E97">
        <v>50</v>
      </c>
    </row>
    <row r="98" spans="1:5">
      <c r="A98" t="s">
        <v>954</v>
      </c>
      <c r="B98">
        <v>30</v>
      </c>
      <c r="C98">
        <v>70</v>
      </c>
      <c r="D98">
        <v>90</v>
      </c>
      <c r="E98">
        <v>10</v>
      </c>
    </row>
    <row r="99" spans="1:5">
      <c r="A99" t="s">
        <v>954</v>
      </c>
      <c r="B99">
        <v>40</v>
      </c>
      <c r="C99">
        <v>60</v>
      </c>
      <c r="D99">
        <v>60</v>
      </c>
      <c r="E99">
        <v>40</v>
      </c>
    </row>
    <row r="100" spans="1:5">
      <c r="A100" t="s">
        <v>954</v>
      </c>
      <c r="B100">
        <v>65</v>
      </c>
      <c r="C100">
        <v>35</v>
      </c>
      <c r="D100">
        <v>40</v>
      </c>
      <c r="E100">
        <v>60</v>
      </c>
    </row>
    <row r="101" spans="1:5">
      <c r="A101" t="s">
        <v>954</v>
      </c>
      <c r="B101">
        <v>100</v>
      </c>
      <c r="C101">
        <v>0</v>
      </c>
      <c r="D101">
        <v>100</v>
      </c>
      <c r="E101">
        <v>0</v>
      </c>
    </row>
    <row r="103" spans="1:5">
      <c r="B103">
        <f>SUM(B5:B102)</f>
        <v>4197</v>
      </c>
      <c r="C103">
        <f>SUM(C5:C102)</f>
        <v>5503</v>
      </c>
      <c r="D103">
        <f>SUM(D5:D102)</f>
        <v>6494</v>
      </c>
      <c r="E103">
        <f>SUM(E5:E102)</f>
        <v>3106</v>
      </c>
    </row>
  </sheetData>
  <sortState ref="A5:E101">
    <sortCondition ref="A5:A101"/>
    <sortCondition ref="B5:B101"/>
  </sortState>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dimension ref="A1:O67"/>
  <sheetViews>
    <sheetView workbookViewId="0"/>
  </sheetViews>
  <sheetFormatPr defaultRowHeight="14.4"/>
  <cols>
    <col min="1" max="1" width="13.6640625" customWidth="1"/>
    <col min="14" max="14" width="32.5546875" bestFit="1" customWidth="1"/>
  </cols>
  <sheetData>
    <row r="1" spans="1:15">
      <c r="A1" s="3" t="s">
        <v>1160</v>
      </c>
    </row>
    <row r="2" spans="1:15">
      <c r="A2" s="3" t="s">
        <v>1171</v>
      </c>
    </row>
    <row r="4" spans="1:15">
      <c r="A4" s="3" t="s">
        <v>1172</v>
      </c>
    </row>
    <row r="5" spans="1:15">
      <c r="B5" t="s">
        <v>901</v>
      </c>
      <c r="C5" t="s">
        <v>1163</v>
      </c>
      <c r="D5" t="s">
        <v>1164</v>
      </c>
      <c r="E5" t="s">
        <v>1165</v>
      </c>
      <c r="F5" t="s">
        <v>1166</v>
      </c>
      <c r="G5" t="s">
        <v>1167</v>
      </c>
      <c r="H5" t="s">
        <v>1168</v>
      </c>
      <c r="I5" t="s">
        <v>1161</v>
      </c>
      <c r="J5" t="s">
        <v>1162</v>
      </c>
      <c r="K5" t="s">
        <v>1169</v>
      </c>
      <c r="N5" t="s">
        <v>1170</v>
      </c>
    </row>
    <row r="6" spans="1:15">
      <c r="A6" t="s">
        <v>974</v>
      </c>
      <c r="B6" t="s">
        <v>494</v>
      </c>
      <c r="C6">
        <v>20</v>
      </c>
      <c r="D6">
        <v>5</v>
      </c>
      <c r="E6">
        <v>5</v>
      </c>
      <c r="F6">
        <v>5</v>
      </c>
      <c r="G6">
        <v>30</v>
      </c>
      <c r="H6">
        <v>5</v>
      </c>
      <c r="I6">
        <v>20</v>
      </c>
      <c r="J6">
        <v>10</v>
      </c>
      <c r="K6">
        <v>0</v>
      </c>
      <c r="L6" s="3">
        <f>SUM(C6:K6)</f>
        <v>100</v>
      </c>
    </row>
    <row r="7" spans="1:15">
      <c r="A7" t="s">
        <v>974</v>
      </c>
      <c r="B7" t="s">
        <v>494</v>
      </c>
      <c r="C7">
        <v>5</v>
      </c>
      <c r="D7">
        <v>20</v>
      </c>
      <c r="E7">
        <v>0</v>
      </c>
      <c r="F7">
        <v>5</v>
      </c>
      <c r="G7">
        <v>40</v>
      </c>
      <c r="H7">
        <v>0</v>
      </c>
      <c r="I7">
        <v>5</v>
      </c>
      <c r="J7">
        <v>25</v>
      </c>
      <c r="K7">
        <v>0</v>
      </c>
      <c r="L7" s="3">
        <f t="shared" ref="L7:L28" si="0">SUM(C7:K7)</f>
        <v>100</v>
      </c>
      <c r="N7" t="s">
        <v>1167</v>
      </c>
      <c r="O7" s="30">
        <v>32.299999999999997</v>
      </c>
    </row>
    <row r="8" spans="1:15">
      <c r="A8" t="s">
        <v>974</v>
      </c>
      <c r="B8" t="s">
        <v>494</v>
      </c>
      <c r="C8">
        <v>0</v>
      </c>
      <c r="D8">
        <v>0</v>
      </c>
      <c r="E8">
        <v>0</v>
      </c>
      <c r="F8">
        <v>0</v>
      </c>
      <c r="G8">
        <v>80</v>
      </c>
      <c r="H8">
        <v>0</v>
      </c>
      <c r="I8">
        <v>5</v>
      </c>
      <c r="J8">
        <v>15</v>
      </c>
      <c r="K8">
        <v>0</v>
      </c>
      <c r="L8" s="3">
        <f t="shared" si="0"/>
        <v>100</v>
      </c>
      <c r="N8" t="s">
        <v>1161</v>
      </c>
      <c r="O8" s="30">
        <v>22.7</v>
      </c>
    </row>
    <row r="9" spans="1:15">
      <c r="A9" t="s">
        <v>974</v>
      </c>
      <c r="B9" t="s">
        <v>494</v>
      </c>
      <c r="C9">
        <v>15</v>
      </c>
      <c r="D9">
        <v>4</v>
      </c>
      <c r="E9">
        <v>2</v>
      </c>
      <c r="F9">
        <v>4</v>
      </c>
      <c r="G9">
        <v>30</v>
      </c>
      <c r="H9">
        <v>0</v>
      </c>
      <c r="I9">
        <v>30</v>
      </c>
      <c r="J9">
        <v>15</v>
      </c>
      <c r="K9">
        <v>0</v>
      </c>
      <c r="L9" s="3">
        <f t="shared" si="0"/>
        <v>100</v>
      </c>
      <c r="N9" t="s">
        <v>1162</v>
      </c>
      <c r="O9" s="30">
        <v>13.7</v>
      </c>
    </row>
    <row r="10" spans="1:15">
      <c r="A10" t="s">
        <v>974</v>
      </c>
      <c r="B10" t="s">
        <v>494</v>
      </c>
      <c r="C10">
        <v>15</v>
      </c>
      <c r="D10">
        <v>10</v>
      </c>
      <c r="E10">
        <v>5</v>
      </c>
      <c r="F10">
        <v>10</v>
      </c>
      <c r="G10">
        <v>20</v>
      </c>
      <c r="H10">
        <v>5</v>
      </c>
      <c r="I10">
        <v>10</v>
      </c>
      <c r="J10">
        <v>15</v>
      </c>
      <c r="K10">
        <v>10</v>
      </c>
      <c r="L10" s="3">
        <f t="shared" si="0"/>
        <v>100</v>
      </c>
      <c r="N10" t="s">
        <v>1164</v>
      </c>
      <c r="O10" s="30">
        <v>10.1</v>
      </c>
    </row>
    <row r="11" spans="1:15">
      <c r="A11" t="s">
        <v>974</v>
      </c>
      <c r="B11" t="s">
        <v>494</v>
      </c>
      <c r="C11">
        <v>5</v>
      </c>
      <c r="D11">
        <v>4</v>
      </c>
      <c r="E11">
        <v>4</v>
      </c>
      <c r="F11">
        <v>4</v>
      </c>
      <c r="G11">
        <v>55</v>
      </c>
      <c r="H11">
        <v>1</v>
      </c>
      <c r="I11">
        <v>5</v>
      </c>
      <c r="J11">
        <v>2</v>
      </c>
      <c r="K11">
        <v>20</v>
      </c>
      <c r="L11" s="3">
        <f t="shared" si="0"/>
        <v>100</v>
      </c>
      <c r="N11" t="s">
        <v>1163</v>
      </c>
      <c r="O11" s="30">
        <v>8.6999999999999993</v>
      </c>
    </row>
    <row r="12" spans="1:15">
      <c r="A12" t="s">
        <v>974</v>
      </c>
      <c r="B12" t="s">
        <v>494</v>
      </c>
      <c r="C12">
        <v>5</v>
      </c>
      <c r="D12">
        <v>5</v>
      </c>
      <c r="E12">
        <v>0</v>
      </c>
      <c r="F12">
        <v>5</v>
      </c>
      <c r="G12">
        <v>85</v>
      </c>
      <c r="H12">
        <v>0</v>
      </c>
      <c r="I12">
        <v>0</v>
      </c>
      <c r="J12">
        <v>0</v>
      </c>
      <c r="K12">
        <v>0</v>
      </c>
      <c r="L12" s="3">
        <f t="shared" si="0"/>
        <v>100</v>
      </c>
      <c r="N12" t="s">
        <v>1166</v>
      </c>
      <c r="O12" s="30">
        <v>4.0999999999999996</v>
      </c>
    </row>
    <row r="13" spans="1:15">
      <c r="A13" t="s">
        <v>974</v>
      </c>
      <c r="B13" t="s">
        <v>494</v>
      </c>
      <c r="C13">
        <v>10</v>
      </c>
      <c r="D13">
        <v>9</v>
      </c>
      <c r="E13">
        <v>5</v>
      </c>
      <c r="F13">
        <v>5</v>
      </c>
      <c r="G13">
        <v>10</v>
      </c>
      <c r="H13">
        <v>1</v>
      </c>
      <c r="I13">
        <v>50</v>
      </c>
      <c r="J13">
        <v>10</v>
      </c>
      <c r="K13">
        <v>0</v>
      </c>
      <c r="L13" s="3">
        <f t="shared" si="0"/>
        <v>100</v>
      </c>
      <c r="N13" t="s">
        <v>1165</v>
      </c>
      <c r="O13" s="30">
        <v>3.3</v>
      </c>
    </row>
    <row r="14" spans="1:15">
      <c r="A14" t="s">
        <v>973</v>
      </c>
      <c r="B14" t="s">
        <v>494</v>
      </c>
      <c r="C14">
        <v>10</v>
      </c>
      <c r="D14">
        <v>5</v>
      </c>
      <c r="E14">
        <v>0</v>
      </c>
      <c r="F14">
        <v>5</v>
      </c>
      <c r="G14">
        <v>10</v>
      </c>
      <c r="H14">
        <v>5</v>
      </c>
      <c r="I14">
        <v>35</v>
      </c>
      <c r="J14">
        <v>30</v>
      </c>
      <c r="K14">
        <v>0</v>
      </c>
      <c r="L14" s="3">
        <f t="shared" si="0"/>
        <v>100</v>
      </c>
      <c r="N14" t="s">
        <v>1169</v>
      </c>
      <c r="O14" s="30">
        <v>2.9</v>
      </c>
    </row>
    <row r="15" spans="1:15">
      <c r="A15" t="s">
        <v>973</v>
      </c>
      <c r="B15" t="s">
        <v>494</v>
      </c>
      <c r="C15">
        <v>5</v>
      </c>
      <c r="D15">
        <v>50</v>
      </c>
      <c r="E15">
        <v>0</v>
      </c>
      <c r="F15">
        <v>5</v>
      </c>
      <c r="G15">
        <v>20</v>
      </c>
      <c r="H15">
        <v>2</v>
      </c>
      <c r="I15">
        <v>18</v>
      </c>
      <c r="J15">
        <v>0</v>
      </c>
      <c r="K15">
        <v>0</v>
      </c>
      <c r="L15" s="3">
        <f t="shared" si="0"/>
        <v>100</v>
      </c>
      <c r="N15" t="s">
        <v>1168</v>
      </c>
      <c r="O15" s="30">
        <v>2.2000000000000002</v>
      </c>
    </row>
    <row r="16" spans="1:15">
      <c r="A16" t="s">
        <v>973</v>
      </c>
      <c r="B16" t="s">
        <v>494</v>
      </c>
      <c r="C16">
        <v>10</v>
      </c>
      <c r="D16">
        <v>10</v>
      </c>
      <c r="E16">
        <v>0</v>
      </c>
      <c r="F16">
        <v>5</v>
      </c>
      <c r="G16">
        <v>25</v>
      </c>
      <c r="H16">
        <v>0</v>
      </c>
      <c r="I16">
        <v>25</v>
      </c>
      <c r="J16">
        <v>25</v>
      </c>
      <c r="K16">
        <v>0</v>
      </c>
      <c r="L16" s="3">
        <f t="shared" si="0"/>
        <v>100</v>
      </c>
      <c r="O16" s="30">
        <f>SUM(O7:O15)</f>
        <v>100</v>
      </c>
    </row>
    <row r="17" spans="1:14">
      <c r="A17" t="s">
        <v>973</v>
      </c>
      <c r="B17" t="s">
        <v>494</v>
      </c>
      <c r="C17">
        <v>5</v>
      </c>
      <c r="D17">
        <v>5</v>
      </c>
      <c r="E17">
        <v>1</v>
      </c>
      <c r="F17">
        <v>2</v>
      </c>
      <c r="G17">
        <v>30</v>
      </c>
      <c r="H17">
        <v>1</v>
      </c>
      <c r="I17">
        <v>50</v>
      </c>
      <c r="J17">
        <v>5</v>
      </c>
      <c r="K17">
        <v>1</v>
      </c>
      <c r="L17" s="3">
        <f t="shared" si="0"/>
        <v>100</v>
      </c>
    </row>
    <row r="18" spans="1:14">
      <c r="A18" t="s">
        <v>972</v>
      </c>
      <c r="B18" t="s">
        <v>494</v>
      </c>
      <c r="C18">
        <v>5</v>
      </c>
      <c r="D18">
        <v>5</v>
      </c>
      <c r="E18">
        <v>0</v>
      </c>
      <c r="F18">
        <v>5</v>
      </c>
      <c r="G18">
        <v>40</v>
      </c>
      <c r="H18">
        <v>5</v>
      </c>
      <c r="I18">
        <v>30</v>
      </c>
      <c r="J18">
        <v>10</v>
      </c>
      <c r="K18">
        <v>0</v>
      </c>
      <c r="L18" s="3">
        <f t="shared" si="0"/>
        <v>100</v>
      </c>
    </row>
    <row r="19" spans="1:14">
      <c r="A19" t="s">
        <v>972</v>
      </c>
      <c r="B19" t="s">
        <v>494</v>
      </c>
      <c r="C19">
        <v>5</v>
      </c>
      <c r="D19">
        <v>10</v>
      </c>
      <c r="E19">
        <v>0</v>
      </c>
      <c r="F19">
        <v>5</v>
      </c>
      <c r="G19">
        <v>25</v>
      </c>
      <c r="H19">
        <v>0</v>
      </c>
      <c r="I19">
        <v>20</v>
      </c>
      <c r="J19">
        <v>35</v>
      </c>
      <c r="K19">
        <v>0</v>
      </c>
      <c r="L19" s="3">
        <f t="shared" si="0"/>
        <v>100</v>
      </c>
    </row>
    <row r="20" spans="1:14">
      <c r="A20" t="s">
        <v>972</v>
      </c>
      <c r="B20" t="s">
        <v>494</v>
      </c>
      <c r="C20">
        <v>25</v>
      </c>
      <c r="D20">
        <v>15</v>
      </c>
      <c r="E20">
        <v>10</v>
      </c>
      <c r="F20">
        <v>5</v>
      </c>
      <c r="G20">
        <v>25</v>
      </c>
      <c r="H20">
        <v>5</v>
      </c>
      <c r="I20">
        <v>5</v>
      </c>
      <c r="J20">
        <v>10</v>
      </c>
      <c r="K20">
        <v>0</v>
      </c>
      <c r="L20" s="3">
        <f t="shared" si="0"/>
        <v>100</v>
      </c>
    </row>
    <row r="21" spans="1:14">
      <c r="A21" t="s">
        <v>972</v>
      </c>
      <c r="B21" t="s">
        <v>494</v>
      </c>
      <c r="C21">
        <v>10</v>
      </c>
      <c r="D21">
        <v>0</v>
      </c>
      <c r="E21">
        <v>0</v>
      </c>
      <c r="F21">
        <v>2</v>
      </c>
      <c r="G21">
        <v>23</v>
      </c>
      <c r="H21">
        <v>0</v>
      </c>
      <c r="I21">
        <v>30</v>
      </c>
      <c r="J21">
        <v>20</v>
      </c>
      <c r="K21">
        <v>15</v>
      </c>
      <c r="L21" s="3">
        <f t="shared" si="0"/>
        <v>100</v>
      </c>
    </row>
    <row r="22" spans="1:14">
      <c r="A22" t="s">
        <v>972</v>
      </c>
      <c r="B22" t="s">
        <v>494</v>
      </c>
      <c r="C22">
        <v>0</v>
      </c>
      <c r="D22">
        <v>5</v>
      </c>
      <c r="E22">
        <v>30</v>
      </c>
      <c r="F22">
        <v>0</v>
      </c>
      <c r="G22">
        <v>20</v>
      </c>
      <c r="H22">
        <v>0</v>
      </c>
      <c r="I22">
        <v>20</v>
      </c>
      <c r="J22">
        <v>25</v>
      </c>
      <c r="K22">
        <v>0</v>
      </c>
      <c r="L22" s="3">
        <f t="shared" si="0"/>
        <v>100</v>
      </c>
    </row>
    <row r="23" spans="1:14">
      <c r="A23" t="s">
        <v>972</v>
      </c>
      <c r="B23" t="s">
        <v>494</v>
      </c>
      <c r="C23">
        <v>20</v>
      </c>
      <c r="D23">
        <v>20</v>
      </c>
      <c r="E23">
        <v>0</v>
      </c>
      <c r="F23">
        <v>2</v>
      </c>
      <c r="G23">
        <v>10</v>
      </c>
      <c r="H23">
        <v>3</v>
      </c>
      <c r="I23">
        <v>30</v>
      </c>
      <c r="J23">
        <v>10</v>
      </c>
      <c r="K23">
        <v>5</v>
      </c>
      <c r="L23" s="3">
        <f t="shared" si="0"/>
        <v>100</v>
      </c>
    </row>
    <row r="24" spans="1:14">
      <c r="A24" t="s">
        <v>972</v>
      </c>
      <c r="B24" t="s">
        <v>494</v>
      </c>
      <c r="C24">
        <v>5</v>
      </c>
      <c r="D24">
        <v>15</v>
      </c>
      <c r="E24">
        <v>5</v>
      </c>
      <c r="F24">
        <v>10</v>
      </c>
      <c r="G24">
        <v>20</v>
      </c>
      <c r="H24">
        <v>5</v>
      </c>
      <c r="I24">
        <v>30</v>
      </c>
      <c r="J24">
        <v>10</v>
      </c>
      <c r="K24">
        <v>0</v>
      </c>
      <c r="L24" s="3">
        <f t="shared" si="0"/>
        <v>100</v>
      </c>
    </row>
    <row r="25" spans="1:14">
      <c r="A25" t="s">
        <v>972</v>
      </c>
      <c r="B25" t="s">
        <v>494</v>
      </c>
      <c r="C25">
        <v>10</v>
      </c>
      <c r="D25">
        <v>5</v>
      </c>
      <c r="E25">
        <v>0</v>
      </c>
      <c r="F25">
        <v>5</v>
      </c>
      <c r="G25">
        <v>15</v>
      </c>
      <c r="H25">
        <v>5</v>
      </c>
      <c r="I25">
        <v>35</v>
      </c>
      <c r="J25">
        <v>25</v>
      </c>
      <c r="K25">
        <v>0</v>
      </c>
      <c r="L25" s="3">
        <f t="shared" si="0"/>
        <v>100</v>
      </c>
    </row>
    <row r="26" spans="1:14">
      <c r="A26" t="s">
        <v>972</v>
      </c>
      <c r="B26" t="s">
        <v>494</v>
      </c>
      <c r="C26">
        <v>3</v>
      </c>
      <c r="D26">
        <v>5</v>
      </c>
      <c r="E26">
        <v>0</v>
      </c>
      <c r="F26">
        <v>0</v>
      </c>
      <c r="G26">
        <v>40</v>
      </c>
      <c r="H26">
        <v>2</v>
      </c>
      <c r="I26">
        <v>40</v>
      </c>
      <c r="J26">
        <v>10</v>
      </c>
      <c r="K26">
        <v>0</v>
      </c>
      <c r="L26" s="3">
        <f t="shared" si="0"/>
        <v>100</v>
      </c>
    </row>
    <row r="27" spans="1:14">
      <c r="A27" t="s">
        <v>972</v>
      </c>
      <c r="B27" t="s">
        <v>494</v>
      </c>
      <c r="C27">
        <v>2</v>
      </c>
      <c r="D27">
        <v>5</v>
      </c>
      <c r="E27">
        <v>0</v>
      </c>
      <c r="F27">
        <v>3</v>
      </c>
      <c r="G27">
        <v>80</v>
      </c>
      <c r="H27">
        <v>0</v>
      </c>
      <c r="I27">
        <v>10</v>
      </c>
      <c r="J27">
        <v>0</v>
      </c>
      <c r="K27">
        <v>0</v>
      </c>
      <c r="L27" s="3">
        <f t="shared" si="0"/>
        <v>100</v>
      </c>
    </row>
    <row r="28" spans="1:14">
      <c r="A28" t="s">
        <v>954</v>
      </c>
      <c r="B28" t="s">
        <v>494</v>
      </c>
      <c r="C28">
        <v>10</v>
      </c>
      <c r="D28">
        <v>20</v>
      </c>
      <c r="E28">
        <v>10</v>
      </c>
      <c r="F28">
        <v>2</v>
      </c>
      <c r="G28">
        <v>10</v>
      </c>
      <c r="H28">
        <v>5</v>
      </c>
      <c r="I28">
        <v>20</v>
      </c>
      <c r="J28">
        <v>8</v>
      </c>
      <c r="K28">
        <v>15</v>
      </c>
      <c r="L28" s="3">
        <f t="shared" si="0"/>
        <v>100</v>
      </c>
    </row>
    <row r="30" spans="1:14">
      <c r="C30" s="3">
        <f t="shared" ref="C30:K30" si="1">SUM(C6:C29)</f>
        <v>200</v>
      </c>
      <c r="D30" s="3">
        <f t="shared" si="1"/>
        <v>232</v>
      </c>
      <c r="E30" s="3">
        <f t="shared" si="1"/>
        <v>77</v>
      </c>
      <c r="F30" s="3">
        <f t="shared" si="1"/>
        <v>94</v>
      </c>
      <c r="G30" s="3">
        <f t="shared" si="1"/>
        <v>743</v>
      </c>
      <c r="H30" s="3">
        <f t="shared" si="1"/>
        <v>50</v>
      </c>
      <c r="I30" s="3">
        <f t="shared" si="1"/>
        <v>523</v>
      </c>
      <c r="J30" s="3">
        <f t="shared" si="1"/>
        <v>315</v>
      </c>
      <c r="K30" s="3">
        <f t="shared" si="1"/>
        <v>66</v>
      </c>
    </row>
    <row r="32" spans="1:14">
      <c r="A32" s="3" t="s">
        <v>1173</v>
      </c>
      <c r="N32" t="s">
        <v>1170</v>
      </c>
    </row>
    <row r="33" spans="1:15">
      <c r="B33" t="s">
        <v>1174</v>
      </c>
      <c r="C33" t="s">
        <v>1175</v>
      </c>
      <c r="D33" t="s">
        <v>1177</v>
      </c>
      <c r="E33" t="s">
        <v>1176</v>
      </c>
      <c r="F33" t="s">
        <v>1178</v>
      </c>
      <c r="G33" t="s">
        <v>1179</v>
      </c>
      <c r="H33" t="s">
        <v>1105</v>
      </c>
      <c r="I33" t="s">
        <v>1180</v>
      </c>
      <c r="J33" t="s">
        <v>1169</v>
      </c>
    </row>
    <row r="34" spans="1:15">
      <c r="A34" t="s">
        <v>972</v>
      </c>
      <c r="B34">
        <v>5</v>
      </c>
      <c r="C34">
        <v>15</v>
      </c>
      <c r="D34">
        <v>5</v>
      </c>
      <c r="E34">
        <v>10</v>
      </c>
      <c r="F34">
        <v>10</v>
      </c>
      <c r="G34">
        <v>20</v>
      </c>
      <c r="H34">
        <v>5</v>
      </c>
      <c r="I34">
        <v>30</v>
      </c>
      <c r="J34">
        <v>0</v>
      </c>
      <c r="N34" t="s">
        <v>1174</v>
      </c>
      <c r="O34" s="30">
        <v>25.6</v>
      </c>
    </row>
    <row r="35" spans="1:15">
      <c r="A35" t="s">
        <v>972</v>
      </c>
      <c r="B35">
        <v>5</v>
      </c>
      <c r="C35">
        <v>65</v>
      </c>
      <c r="D35">
        <v>5</v>
      </c>
      <c r="E35">
        <v>0</v>
      </c>
      <c r="F35">
        <v>0</v>
      </c>
      <c r="G35">
        <v>5</v>
      </c>
      <c r="H35">
        <v>0</v>
      </c>
      <c r="I35">
        <v>20</v>
      </c>
      <c r="J35">
        <v>0</v>
      </c>
      <c r="N35" t="s">
        <v>1180</v>
      </c>
      <c r="O35" s="30">
        <v>18.100000000000001</v>
      </c>
    </row>
    <row r="36" spans="1:15">
      <c r="A36" t="s">
        <v>974</v>
      </c>
      <c r="B36">
        <v>10</v>
      </c>
      <c r="C36">
        <v>30</v>
      </c>
      <c r="D36">
        <v>5</v>
      </c>
      <c r="E36">
        <v>5</v>
      </c>
      <c r="F36">
        <v>10</v>
      </c>
      <c r="G36">
        <v>25</v>
      </c>
      <c r="H36">
        <v>5</v>
      </c>
      <c r="I36">
        <v>10</v>
      </c>
      <c r="J36">
        <v>0</v>
      </c>
      <c r="N36" t="s">
        <v>1175</v>
      </c>
      <c r="O36" s="30">
        <v>16.899999999999999</v>
      </c>
    </row>
    <row r="37" spans="1:15">
      <c r="A37" t="s">
        <v>974</v>
      </c>
      <c r="B37">
        <v>10</v>
      </c>
      <c r="C37">
        <v>15</v>
      </c>
      <c r="D37">
        <v>5</v>
      </c>
      <c r="E37">
        <v>8</v>
      </c>
      <c r="F37">
        <v>10</v>
      </c>
      <c r="G37">
        <v>25</v>
      </c>
      <c r="H37">
        <v>5</v>
      </c>
      <c r="I37">
        <v>20</v>
      </c>
      <c r="J37">
        <v>2</v>
      </c>
      <c r="N37" t="s">
        <v>1179</v>
      </c>
      <c r="O37" s="30">
        <v>13.9</v>
      </c>
    </row>
    <row r="38" spans="1:15">
      <c r="A38" t="s">
        <v>973</v>
      </c>
      <c r="B38">
        <v>10</v>
      </c>
      <c r="C38">
        <v>5</v>
      </c>
      <c r="D38">
        <v>10</v>
      </c>
      <c r="E38">
        <v>30</v>
      </c>
      <c r="F38">
        <v>30</v>
      </c>
      <c r="G38">
        <v>10</v>
      </c>
      <c r="H38">
        <v>0</v>
      </c>
      <c r="I38">
        <v>5</v>
      </c>
      <c r="J38">
        <v>0</v>
      </c>
      <c r="N38" t="s">
        <v>1178</v>
      </c>
      <c r="O38" s="30">
        <v>8.1999999999999993</v>
      </c>
    </row>
    <row r="39" spans="1:15">
      <c r="A39" t="s">
        <v>972</v>
      </c>
      <c r="B39">
        <v>10</v>
      </c>
      <c r="C39">
        <v>20</v>
      </c>
      <c r="D39">
        <v>5</v>
      </c>
      <c r="E39">
        <v>10</v>
      </c>
      <c r="F39">
        <v>10</v>
      </c>
      <c r="G39">
        <v>5</v>
      </c>
      <c r="H39">
        <v>5</v>
      </c>
      <c r="I39">
        <v>35</v>
      </c>
      <c r="J39">
        <v>0</v>
      </c>
      <c r="N39" t="s">
        <v>1176</v>
      </c>
      <c r="O39" s="30">
        <v>6.8</v>
      </c>
    </row>
    <row r="40" spans="1:15">
      <c r="A40" t="s">
        <v>972</v>
      </c>
      <c r="B40">
        <v>10</v>
      </c>
      <c r="C40">
        <v>10</v>
      </c>
      <c r="D40">
        <v>5</v>
      </c>
      <c r="E40">
        <v>5</v>
      </c>
      <c r="F40">
        <v>5</v>
      </c>
      <c r="G40">
        <v>20</v>
      </c>
      <c r="H40">
        <v>5</v>
      </c>
      <c r="I40">
        <v>40</v>
      </c>
      <c r="J40">
        <v>0</v>
      </c>
      <c r="N40" t="s">
        <v>1177</v>
      </c>
      <c r="O40" s="30">
        <v>5.3</v>
      </c>
    </row>
    <row r="41" spans="1:15">
      <c r="A41" t="s">
        <v>972</v>
      </c>
      <c r="B41">
        <v>10</v>
      </c>
      <c r="C41">
        <v>5</v>
      </c>
      <c r="D41">
        <v>3</v>
      </c>
      <c r="E41">
        <v>3</v>
      </c>
      <c r="F41">
        <v>10</v>
      </c>
      <c r="G41">
        <v>30</v>
      </c>
      <c r="H41">
        <v>5</v>
      </c>
      <c r="I41">
        <v>34</v>
      </c>
      <c r="J41">
        <v>0</v>
      </c>
      <c r="N41" t="s">
        <v>1181</v>
      </c>
      <c r="O41" s="30">
        <v>4.9000000000000004</v>
      </c>
    </row>
    <row r="42" spans="1:15">
      <c r="A42" t="s">
        <v>972</v>
      </c>
      <c r="B42">
        <v>14</v>
      </c>
      <c r="C42">
        <v>13</v>
      </c>
      <c r="D42">
        <v>7</v>
      </c>
      <c r="E42">
        <v>7</v>
      </c>
      <c r="F42">
        <v>13</v>
      </c>
      <c r="G42">
        <v>20</v>
      </c>
      <c r="H42">
        <v>13</v>
      </c>
      <c r="I42">
        <v>13</v>
      </c>
      <c r="J42">
        <v>0</v>
      </c>
      <c r="N42" t="s">
        <v>1169</v>
      </c>
      <c r="O42" s="30">
        <v>0.4</v>
      </c>
    </row>
    <row r="43" spans="1:15">
      <c r="A43" t="s">
        <v>974</v>
      </c>
      <c r="B43">
        <v>20</v>
      </c>
      <c r="C43">
        <v>10</v>
      </c>
      <c r="D43">
        <v>7</v>
      </c>
      <c r="E43">
        <v>3</v>
      </c>
      <c r="F43">
        <v>10</v>
      </c>
      <c r="G43">
        <v>25</v>
      </c>
      <c r="H43">
        <v>10</v>
      </c>
      <c r="I43">
        <v>15</v>
      </c>
      <c r="J43">
        <v>0</v>
      </c>
      <c r="O43" s="30">
        <f>SUM(O34:O42)</f>
        <v>100.10000000000001</v>
      </c>
    </row>
    <row r="44" spans="1:15">
      <c r="A44" t="s">
        <v>972</v>
      </c>
      <c r="B44">
        <v>20</v>
      </c>
      <c r="C44">
        <v>15</v>
      </c>
      <c r="D44">
        <v>5</v>
      </c>
      <c r="E44">
        <v>5</v>
      </c>
      <c r="F44">
        <v>5</v>
      </c>
      <c r="G44">
        <v>10</v>
      </c>
      <c r="H44">
        <v>10</v>
      </c>
      <c r="I44">
        <v>30</v>
      </c>
      <c r="J44">
        <v>0</v>
      </c>
    </row>
    <row r="45" spans="1:15">
      <c r="A45" t="s">
        <v>972</v>
      </c>
      <c r="B45">
        <v>20</v>
      </c>
      <c r="C45">
        <v>10</v>
      </c>
      <c r="D45">
        <v>10</v>
      </c>
      <c r="E45">
        <v>15</v>
      </c>
      <c r="F45">
        <v>10</v>
      </c>
      <c r="G45">
        <v>20</v>
      </c>
      <c r="H45">
        <v>5</v>
      </c>
      <c r="I45">
        <v>10</v>
      </c>
      <c r="J45">
        <v>0</v>
      </c>
    </row>
    <row r="46" spans="1:15">
      <c r="A46" t="s">
        <v>974</v>
      </c>
      <c r="B46">
        <v>25</v>
      </c>
      <c r="C46">
        <v>30</v>
      </c>
      <c r="D46">
        <v>5</v>
      </c>
      <c r="E46">
        <v>5</v>
      </c>
      <c r="F46">
        <v>10</v>
      </c>
      <c r="G46">
        <v>10</v>
      </c>
      <c r="H46">
        <v>5</v>
      </c>
      <c r="I46">
        <v>10</v>
      </c>
      <c r="J46">
        <v>0</v>
      </c>
    </row>
    <row r="47" spans="1:15">
      <c r="A47" t="s">
        <v>973</v>
      </c>
      <c r="B47">
        <v>25</v>
      </c>
      <c r="C47">
        <v>25</v>
      </c>
      <c r="D47">
        <v>5</v>
      </c>
      <c r="E47">
        <v>0</v>
      </c>
      <c r="F47">
        <v>5</v>
      </c>
      <c r="G47">
        <v>15</v>
      </c>
      <c r="H47">
        <v>0</v>
      </c>
      <c r="I47">
        <v>25</v>
      </c>
      <c r="J47">
        <v>0</v>
      </c>
    </row>
    <row r="48" spans="1:15">
      <c r="A48" t="s">
        <v>972</v>
      </c>
      <c r="B48">
        <v>25</v>
      </c>
      <c r="C48">
        <v>5</v>
      </c>
      <c r="D48">
        <v>2</v>
      </c>
      <c r="E48">
        <v>5</v>
      </c>
      <c r="F48">
        <v>5</v>
      </c>
      <c r="G48">
        <v>20</v>
      </c>
      <c r="H48">
        <v>10</v>
      </c>
      <c r="I48">
        <v>25</v>
      </c>
      <c r="J48">
        <v>3</v>
      </c>
    </row>
    <row r="49" spans="1:10">
      <c r="A49" t="s">
        <v>972</v>
      </c>
      <c r="B49">
        <v>25</v>
      </c>
      <c r="C49">
        <v>5</v>
      </c>
      <c r="D49">
        <v>5</v>
      </c>
      <c r="E49">
        <v>5</v>
      </c>
      <c r="F49">
        <v>5</v>
      </c>
      <c r="G49">
        <v>25</v>
      </c>
      <c r="H49">
        <v>5</v>
      </c>
      <c r="I49">
        <v>25</v>
      </c>
      <c r="J49">
        <v>0</v>
      </c>
    </row>
    <row r="50" spans="1:10">
      <c r="A50" t="s">
        <v>974</v>
      </c>
      <c r="B50">
        <v>30</v>
      </c>
      <c r="C50">
        <v>10</v>
      </c>
      <c r="D50">
        <v>10</v>
      </c>
      <c r="E50">
        <v>15</v>
      </c>
      <c r="F50">
        <v>10</v>
      </c>
      <c r="G50">
        <v>10</v>
      </c>
      <c r="H50">
        <v>5</v>
      </c>
      <c r="I50">
        <v>10</v>
      </c>
      <c r="J50">
        <v>0</v>
      </c>
    </row>
    <row r="51" spans="1:10">
      <c r="A51" t="s">
        <v>973</v>
      </c>
      <c r="B51">
        <v>30</v>
      </c>
      <c r="C51">
        <v>10</v>
      </c>
      <c r="D51">
        <v>3</v>
      </c>
      <c r="E51">
        <v>5</v>
      </c>
      <c r="F51">
        <v>5</v>
      </c>
      <c r="G51">
        <v>1</v>
      </c>
      <c r="H51">
        <v>2</v>
      </c>
      <c r="I51">
        <v>40</v>
      </c>
      <c r="J51">
        <v>4</v>
      </c>
    </row>
    <row r="52" spans="1:10">
      <c r="A52" t="s">
        <v>974</v>
      </c>
      <c r="B52">
        <v>35</v>
      </c>
      <c r="C52">
        <v>50</v>
      </c>
      <c r="D52">
        <v>0</v>
      </c>
      <c r="E52">
        <v>0</v>
      </c>
      <c r="F52">
        <v>5</v>
      </c>
      <c r="G52">
        <v>5</v>
      </c>
      <c r="H52">
        <v>5</v>
      </c>
      <c r="I52">
        <v>0</v>
      </c>
      <c r="J52">
        <v>0</v>
      </c>
    </row>
    <row r="53" spans="1:10">
      <c r="A53" t="s">
        <v>974</v>
      </c>
      <c r="B53">
        <v>45</v>
      </c>
      <c r="C53">
        <v>25</v>
      </c>
      <c r="D53">
        <v>5</v>
      </c>
      <c r="E53">
        <v>5</v>
      </c>
      <c r="F53">
        <v>5</v>
      </c>
      <c r="G53">
        <v>5</v>
      </c>
      <c r="H53">
        <v>5</v>
      </c>
      <c r="I53">
        <v>5</v>
      </c>
      <c r="J53">
        <v>0</v>
      </c>
    </row>
    <row r="54" spans="1:10">
      <c r="A54" t="s">
        <v>973</v>
      </c>
      <c r="B54">
        <v>60</v>
      </c>
      <c r="C54">
        <v>5</v>
      </c>
      <c r="D54">
        <v>5</v>
      </c>
      <c r="E54">
        <v>5</v>
      </c>
      <c r="F54">
        <v>10</v>
      </c>
      <c r="G54">
        <v>5</v>
      </c>
      <c r="H54">
        <v>5</v>
      </c>
      <c r="I54">
        <v>5</v>
      </c>
      <c r="J54">
        <v>0</v>
      </c>
    </row>
    <row r="55" spans="1:10">
      <c r="A55" t="s">
        <v>954</v>
      </c>
      <c r="B55">
        <v>60</v>
      </c>
      <c r="C55">
        <v>5</v>
      </c>
      <c r="D55">
        <v>5</v>
      </c>
      <c r="E55">
        <v>10</v>
      </c>
      <c r="F55">
        <v>5</v>
      </c>
      <c r="G55">
        <v>3</v>
      </c>
      <c r="H55">
        <v>3</v>
      </c>
      <c r="I55">
        <v>9</v>
      </c>
      <c r="J55">
        <v>0</v>
      </c>
    </row>
    <row r="56" spans="1:10">
      <c r="A56" t="s">
        <v>974</v>
      </c>
      <c r="B56">
        <v>85</v>
      </c>
      <c r="C56">
        <v>5</v>
      </c>
      <c r="D56">
        <v>5</v>
      </c>
      <c r="E56">
        <v>0</v>
      </c>
      <c r="F56">
        <v>0</v>
      </c>
      <c r="G56">
        <v>5</v>
      </c>
      <c r="H56">
        <v>0</v>
      </c>
      <c r="I56">
        <v>0</v>
      </c>
      <c r="J56">
        <v>0</v>
      </c>
    </row>
    <row r="58" spans="1:10">
      <c r="B58">
        <f>SUM(B34:B57)</f>
        <v>589</v>
      </c>
      <c r="C58">
        <f t="shared" ref="C58:J58" si="2">SUM(C34:C57)</f>
        <v>388</v>
      </c>
      <c r="D58">
        <f t="shared" si="2"/>
        <v>122</v>
      </c>
      <c r="E58">
        <f t="shared" si="2"/>
        <v>156</v>
      </c>
      <c r="F58">
        <f t="shared" si="2"/>
        <v>188</v>
      </c>
      <c r="G58">
        <f t="shared" si="2"/>
        <v>319</v>
      </c>
      <c r="H58">
        <f t="shared" si="2"/>
        <v>113</v>
      </c>
      <c r="I58">
        <f t="shared" si="2"/>
        <v>416</v>
      </c>
      <c r="J58">
        <f t="shared" si="2"/>
        <v>9</v>
      </c>
    </row>
    <row r="61" spans="1:10">
      <c r="A61" s="3" t="s">
        <v>1204</v>
      </c>
    </row>
    <row r="62" spans="1:10">
      <c r="B62" s="1" t="s">
        <v>1205</v>
      </c>
      <c r="C62" s="1"/>
      <c r="D62" s="1"/>
      <c r="E62" s="1"/>
      <c r="F62" s="1"/>
      <c r="G62" s="1" t="s">
        <v>1206</v>
      </c>
    </row>
    <row r="63" spans="1:10">
      <c r="A63" t="s">
        <v>974</v>
      </c>
      <c r="B63" t="s">
        <v>557</v>
      </c>
    </row>
    <row r="64" spans="1:10">
      <c r="A64" t="s">
        <v>974</v>
      </c>
      <c r="B64" t="s">
        <v>577</v>
      </c>
      <c r="G64" t="s">
        <v>578</v>
      </c>
    </row>
    <row r="65" spans="1:7">
      <c r="A65" t="s">
        <v>972</v>
      </c>
      <c r="B65" t="s">
        <v>563</v>
      </c>
    </row>
    <row r="66" spans="1:7">
      <c r="A66" t="s">
        <v>972</v>
      </c>
      <c r="B66" t="s">
        <v>523</v>
      </c>
      <c r="G66" t="s">
        <v>524</v>
      </c>
    </row>
    <row r="67" spans="1:7">
      <c r="A67" t="s">
        <v>954</v>
      </c>
      <c r="B67" t="s">
        <v>501</v>
      </c>
    </row>
  </sheetData>
  <sortState ref="A63:D67">
    <sortCondition ref="A63:A67"/>
  </sortState>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dimension ref="A1:W100"/>
  <sheetViews>
    <sheetView workbookViewId="0"/>
  </sheetViews>
  <sheetFormatPr defaultRowHeight="14.4"/>
  <cols>
    <col min="1" max="1" width="13.88671875" customWidth="1"/>
    <col min="4" max="4" width="9.109375" customWidth="1"/>
    <col min="5" max="5" width="20" customWidth="1"/>
    <col min="13" max="13" width="3.5546875" style="43" customWidth="1"/>
    <col min="14" max="14" width="15.6640625" customWidth="1"/>
    <col min="17" max="17" width="17.6640625" customWidth="1"/>
  </cols>
  <sheetData>
    <row r="1" spans="1:23">
      <c r="A1" s="3" t="s">
        <v>1182</v>
      </c>
    </row>
    <row r="2" spans="1:23">
      <c r="A2" s="3" t="s">
        <v>1189</v>
      </c>
    </row>
    <row r="4" spans="1:23">
      <c r="A4" s="3" t="s">
        <v>1190</v>
      </c>
      <c r="H4" t="s">
        <v>1407</v>
      </c>
      <c r="N4" s="3" t="s">
        <v>1191</v>
      </c>
      <c r="Q4" t="s">
        <v>1183</v>
      </c>
    </row>
    <row r="5" spans="1:23">
      <c r="A5" t="s">
        <v>974</v>
      </c>
      <c r="B5">
        <v>0</v>
      </c>
      <c r="E5" t="s">
        <v>1183</v>
      </c>
      <c r="N5" t="s">
        <v>974</v>
      </c>
      <c r="O5">
        <v>0</v>
      </c>
    </row>
    <row r="6" spans="1:23">
      <c r="A6" t="s">
        <v>974</v>
      </c>
      <c r="B6">
        <v>0.5</v>
      </c>
      <c r="N6" t="s">
        <v>974</v>
      </c>
      <c r="O6">
        <v>0</v>
      </c>
      <c r="Q6" t="s">
        <v>1184</v>
      </c>
      <c r="R6" s="30">
        <f>716.95/94</f>
        <v>7.6271276595744686</v>
      </c>
    </row>
    <row r="7" spans="1:23">
      <c r="A7" t="s">
        <v>974</v>
      </c>
      <c r="B7">
        <v>0.5</v>
      </c>
      <c r="E7" t="s">
        <v>1184</v>
      </c>
      <c r="F7" s="30">
        <f>415.64/94</f>
        <v>4.4217021276595743</v>
      </c>
      <c r="H7" s="69">
        <f>F7/22</f>
        <v>0.20098646034816248</v>
      </c>
      <c r="N7" t="s">
        <v>974</v>
      </c>
      <c r="O7">
        <v>0</v>
      </c>
      <c r="Q7" t="s">
        <v>967</v>
      </c>
      <c r="R7" s="30">
        <v>1</v>
      </c>
    </row>
    <row r="8" spans="1:23">
      <c r="A8" t="s">
        <v>974</v>
      </c>
      <c r="B8">
        <v>0.5</v>
      </c>
      <c r="E8" t="s">
        <v>967</v>
      </c>
      <c r="F8" s="30">
        <v>1</v>
      </c>
      <c r="H8" s="69">
        <f>F8/7</f>
        <v>0.14285714285714285</v>
      </c>
      <c r="I8" t="s">
        <v>1408</v>
      </c>
      <c r="N8" t="s">
        <v>974</v>
      </c>
      <c r="O8">
        <v>0.2</v>
      </c>
    </row>
    <row r="9" spans="1:23">
      <c r="A9" t="s">
        <v>974</v>
      </c>
      <c r="B9">
        <v>0.5</v>
      </c>
      <c r="N9" t="s">
        <v>974</v>
      </c>
      <c r="O9">
        <v>0.8</v>
      </c>
    </row>
    <row r="10" spans="1:23">
      <c r="A10" t="s">
        <v>974</v>
      </c>
      <c r="B10">
        <v>1</v>
      </c>
      <c r="N10" t="s">
        <v>974</v>
      </c>
      <c r="O10">
        <v>1</v>
      </c>
      <c r="Q10" t="s">
        <v>1185</v>
      </c>
    </row>
    <row r="11" spans="1:23">
      <c r="A11" t="s">
        <v>974</v>
      </c>
      <c r="B11">
        <v>1</v>
      </c>
      <c r="E11" t="s">
        <v>1185</v>
      </c>
      <c r="N11" t="s">
        <v>974</v>
      </c>
      <c r="O11">
        <v>1</v>
      </c>
      <c r="R11" t="s">
        <v>1142</v>
      </c>
      <c r="S11" t="s">
        <v>1186</v>
      </c>
      <c r="T11" t="s">
        <v>1187</v>
      </c>
      <c r="U11" t="s">
        <v>1101</v>
      </c>
      <c r="V11" t="s">
        <v>1093</v>
      </c>
      <c r="W11" t="s">
        <v>1188</v>
      </c>
    </row>
    <row r="12" spans="1:23">
      <c r="A12" t="s">
        <v>974</v>
      </c>
      <c r="B12">
        <v>1</v>
      </c>
      <c r="F12" t="s">
        <v>1142</v>
      </c>
      <c r="G12" t="s">
        <v>1186</v>
      </c>
      <c r="H12" t="s">
        <v>1187</v>
      </c>
      <c r="I12" t="s">
        <v>1101</v>
      </c>
      <c r="J12" t="s">
        <v>1093</v>
      </c>
      <c r="K12" t="s">
        <v>1188</v>
      </c>
      <c r="N12" t="s">
        <v>974</v>
      </c>
      <c r="O12">
        <v>1</v>
      </c>
      <c r="Q12" t="s">
        <v>1184</v>
      </c>
      <c r="R12" s="30">
        <f>520/28</f>
        <v>18.571428571428573</v>
      </c>
      <c r="S12" s="30">
        <f>4.1/6</f>
        <v>0.68333333333333324</v>
      </c>
      <c r="T12" s="30">
        <f>184.85/55</f>
        <v>3.3609090909090908</v>
      </c>
      <c r="U12" s="30">
        <f>8/5</f>
        <v>1.6</v>
      </c>
      <c r="V12">
        <v>7.6</v>
      </c>
      <c r="W12">
        <v>1</v>
      </c>
    </row>
    <row r="13" spans="1:23">
      <c r="A13" t="s">
        <v>974</v>
      </c>
      <c r="B13">
        <v>1</v>
      </c>
      <c r="E13" t="s">
        <v>1184</v>
      </c>
      <c r="F13" s="30">
        <f>134.25/28</f>
        <v>4.7946428571428568</v>
      </c>
      <c r="G13" s="30">
        <f>16.7/6</f>
        <v>2.7833333333333332</v>
      </c>
      <c r="H13" s="30">
        <f>129.69/55</f>
        <v>2.3580000000000001</v>
      </c>
      <c r="I13" s="30">
        <f>135/5</f>
        <v>27</v>
      </c>
      <c r="J13">
        <v>4.4000000000000004</v>
      </c>
      <c r="K13">
        <v>1</v>
      </c>
      <c r="N13" t="s">
        <v>974</v>
      </c>
      <c r="O13">
        <v>1</v>
      </c>
    </row>
    <row r="14" spans="1:23">
      <c r="A14" t="s">
        <v>974</v>
      </c>
      <c r="B14">
        <v>1</v>
      </c>
      <c r="F14" s="30"/>
      <c r="G14" s="30"/>
      <c r="H14" s="30"/>
      <c r="I14" s="30"/>
      <c r="N14" t="s">
        <v>974</v>
      </c>
      <c r="O14">
        <v>1</v>
      </c>
    </row>
    <row r="15" spans="1:23">
      <c r="A15" t="s">
        <v>974</v>
      </c>
      <c r="B15">
        <v>1</v>
      </c>
      <c r="F15" s="42"/>
      <c r="G15" s="42"/>
      <c r="H15" s="42"/>
      <c r="I15" s="42"/>
      <c r="N15" t="s">
        <v>974</v>
      </c>
      <c r="O15">
        <v>1</v>
      </c>
    </row>
    <row r="16" spans="1:23">
      <c r="A16" t="s">
        <v>974</v>
      </c>
      <c r="B16">
        <v>1.5</v>
      </c>
      <c r="N16" t="s">
        <v>974</v>
      </c>
      <c r="O16">
        <v>2</v>
      </c>
    </row>
    <row r="17" spans="1:15">
      <c r="A17" t="s">
        <v>974</v>
      </c>
      <c r="B17">
        <v>1.75</v>
      </c>
      <c r="N17" t="s">
        <v>974</v>
      </c>
      <c r="O17">
        <v>2</v>
      </c>
    </row>
    <row r="18" spans="1:15">
      <c r="A18" t="s">
        <v>974</v>
      </c>
      <c r="B18">
        <v>2</v>
      </c>
      <c r="N18" t="s">
        <v>974</v>
      </c>
      <c r="O18">
        <v>3</v>
      </c>
    </row>
    <row r="19" spans="1:15">
      <c r="A19" t="s">
        <v>974</v>
      </c>
      <c r="B19">
        <v>2</v>
      </c>
      <c r="N19" t="s">
        <v>974</v>
      </c>
      <c r="O19">
        <v>5</v>
      </c>
    </row>
    <row r="20" spans="1:15">
      <c r="A20" t="s">
        <v>974</v>
      </c>
      <c r="B20">
        <v>3</v>
      </c>
      <c r="N20" t="s">
        <v>974</v>
      </c>
      <c r="O20">
        <v>5</v>
      </c>
    </row>
    <row r="21" spans="1:15">
      <c r="A21" t="s">
        <v>974</v>
      </c>
      <c r="B21">
        <v>3</v>
      </c>
      <c r="N21" t="s">
        <v>974</v>
      </c>
      <c r="O21">
        <v>5</v>
      </c>
    </row>
    <row r="22" spans="1:15">
      <c r="A22" t="s">
        <v>974</v>
      </c>
      <c r="B22">
        <v>3.5</v>
      </c>
      <c r="N22" t="s">
        <v>974</v>
      </c>
      <c r="O22">
        <v>5</v>
      </c>
    </row>
    <row r="23" spans="1:15">
      <c r="A23" t="s">
        <v>974</v>
      </c>
      <c r="B23">
        <v>3.5</v>
      </c>
      <c r="N23" t="s">
        <v>974</v>
      </c>
      <c r="O23">
        <v>6</v>
      </c>
    </row>
    <row r="24" spans="1:15">
      <c r="A24" t="s">
        <v>974</v>
      </c>
      <c r="B24">
        <v>4</v>
      </c>
      <c r="N24" t="s">
        <v>974</v>
      </c>
      <c r="O24">
        <v>10</v>
      </c>
    </row>
    <row r="25" spans="1:15">
      <c r="A25" t="s">
        <v>974</v>
      </c>
      <c r="B25">
        <v>4</v>
      </c>
      <c r="N25" t="s">
        <v>974</v>
      </c>
      <c r="O25">
        <v>10</v>
      </c>
    </row>
    <row r="26" spans="1:15">
      <c r="A26" t="s">
        <v>974</v>
      </c>
      <c r="B26">
        <v>4</v>
      </c>
      <c r="N26" t="s">
        <v>974</v>
      </c>
      <c r="O26">
        <v>10</v>
      </c>
    </row>
    <row r="27" spans="1:15">
      <c r="A27" t="s">
        <v>974</v>
      </c>
      <c r="B27">
        <v>4</v>
      </c>
      <c r="N27" t="s">
        <v>974</v>
      </c>
      <c r="O27">
        <v>15</v>
      </c>
    </row>
    <row r="28" spans="1:15">
      <c r="A28" t="s">
        <v>974</v>
      </c>
      <c r="B28">
        <v>5</v>
      </c>
      <c r="N28" t="s">
        <v>974</v>
      </c>
      <c r="O28">
        <v>30</v>
      </c>
    </row>
    <row r="29" spans="1:15">
      <c r="A29" t="s">
        <v>974</v>
      </c>
      <c r="B29">
        <v>5</v>
      </c>
      <c r="N29" t="s">
        <v>974</v>
      </c>
      <c r="O29">
        <v>30</v>
      </c>
    </row>
    <row r="30" spans="1:15">
      <c r="A30" t="s">
        <v>974</v>
      </c>
      <c r="B30">
        <v>10</v>
      </c>
      <c r="N30" t="s">
        <v>974</v>
      </c>
      <c r="O30">
        <v>50</v>
      </c>
    </row>
    <row r="31" spans="1:15">
      <c r="A31" t="s">
        <v>974</v>
      </c>
      <c r="B31">
        <v>30</v>
      </c>
      <c r="N31" t="s">
        <v>974</v>
      </c>
      <c r="O31">
        <v>75</v>
      </c>
    </row>
    <row r="32" spans="1:15">
      <c r="A32" t="s">
        <v>974</v>
      </c>
      <c r="B32">
        <v>40</v>
      </c>
      <c r="N32" t="s">
        <v>974</v>
      </c>
      <c r="O32">
        <v>250</v>
      </c>
    </row>
    <row r="33" spans="1:23">
      <c r="A33" t="s">
        <v>973</v>
      </c>
      <c r="B33">
        <v>1</v>
      </c>
      <c r="N33" t="s">
        <v>973</v>
      </c>
      <c r="O33">
        <v>0</v>
      </c>
    </row>
    <row r="34" spans="1:23">
      <c r="A34" t="s">
        <v>973</v>
      </c>
      <c r="B34">
        <v>1.2</v>
      </c>
      <c r="N34" t="s">
        <v>973</v>
      </c>
      <c r="O34">
        <v>0</v>
      </c>
    </row>
    <row r="35" spans="1:23">
      <c r="A35" t="s">
        <v>973</v>
      </c>
      <c r="B35">
        <v>1.5</v>
      </c>
      <c r="N35" t="s">
        <v>973</v>
      </c>
      <c r="O35">
        <v>0.2</v>
      </c>
    </row>
    <row r="36" spans="1:23">
      <c r="A36" t="s">
        <v>973</v>
      </c>
      <c r="B36">
        <v>3</v>
      </c>
      <c r="N36" t="s">
        <v>973</v>
      </c>
      <c r="O36">
        <v>0.2</v>
      </c>
      <c r="Q36" t="s">
        <v>1185</v>
      </c>
    </row>
    <row r="37" spans="1:23">
      <c r="A37" t="s">
        <v>973</v>
      </c>
      <c r="B37">
        <v>3</v>
      </c>
      <c r="N37" t="s">
        <v>973</v>
      </c>
      <c r="O37">
        <v>0.7</v>
      </c>
      <c r="R37" t="s">
        <v>1142</v>
      </c>
      <c r="S37" t="s">
        <v>1186</v>
      </c>
      <c r="T37" t="s">
        <v>1187</v>
      </c>
      <c r="U37" t="s">
        <v>1101</v>
      </c>
      <c r="V37" t="s">
        <v>1093</v>
      </c>
      <c r="W37" t="s">
        <v>1188</v>
      </c>
    </row>
    <row r="38" spans="1:23">
      <c r="A38" t="s">
        <v>973</v>
      </c>
      <c r="B38">
        <v>7</v>
      </c>
      <c r="N38" t="s">
        <v>973</v>
      </c>
      <c r="O38">
        <v>3</v>
      </c>
      <c r="Q38" t="s">
        <v>1190</v>
      </c>
      <c r="R38" s="30">
        <f>134.25/28</f>
        <v>4.7946428571428568</v>
      </c>
      <c r="S38" s="30">
        <f>16.7/6</f>
        <v>2.7833333333333332</v>
      </c>
      <c r="T38" s="30">
        <f>129.69/55</f>
        <v>2.3580000000000001</v>
      </c>
      <c r="U38" s="30">
        <f>135/5</f>
        <v>27</v>
      </c>
      <c r="V38">
        <v>4.4000000000000004</v>
      </c>
      <c r="W38">
        <v>1</v>
      </c>
    </row>
    <row r="39" spans="1:23">
      <c r="A39" t="s">
        <v>972</v>
      </c>
      <c r="B39">
        <v>0</v>
      </c>
      <c r="N39" t="s">
        <v>972</v>
      </c>
      <c r="O39">
        <v>0</v>
      </c>
      <c r="Q39" t="s">
        <v>1191</v>
      </c>
      <c r="R39" s="30">
        <f>520/28</f>
        <v>18.571428571428573</v>
      </c>
      <c r="S39" s="30">
        <f>4.1/6</f>
        <v>0.68333333333333324</v>
      </c>
      <c r="T39" s="30">
        <f>184.85/55</f>
        <v>3.3609090909090908</v>
      </c>
      <c r="U39" s="30">
        <f>8/5</f>
        <v>1.6</v>
      </c>
      <c r="V39">
        <v>7.6</v>
      </c>
      <c r="W39">
        <v>1</v>
      </c>
    </row>
    <row r="40" spans="1:23" ht="15" thickBot="1">
      <c r="A40" t="s">
        <v>972</v>
      </c>
      <c r="B40">
        <v>0</v>
      </c>
      <c r="N40" t="s">
        <v>972</v>
      </c>
      <c r="O40">
        <v>0</v>
      </c>
    </row>
    <row r="41" spans="1:23" ht="23.4" thickBot="1">
      <c r="A41" t="s">
        <v>972</v>
      </c>
      <c r="B41">
        <v>0</v>
      </c>
      <c r="E41" s="47"/>
      <c r="F41" s="48" t="s">
        <v>978</v>
      </c>
      <c r="G41" s="48" t="s">
        <v>1255</v>
      </c>
      <c r="H41" s="48" t="s">
        <v>1272</v>
      </c>
      <c r="I41" s="48" t="s">
        <v>1257</v>
      </c>
      <c r="J41" s="48" t="s">
        <v>1265</v>
      </c>
      <c r="K41" s="48"/>
      <c r="N41" t="s">
        <v>972</v>
      </c>
      <c r="O41">
        <v>0</v>
      </c>
    </row>
    <row r="42" spans="1:23" ht="15" thickBot="1">
      <c r="A42" t="s">
        <v>972</v>
      </c>
      <c r="B42">
        <v>0</v>
      </c>
      <c r="E42" s="63" t="s">
        <v>1282</v>
      </c>
      <c r="F42" s="51" t="s">
        <v>1283</v>
      </c>
      <c r="G42" s="62">
        <v>5</v>
      </c>
      <c r="H42" s="51">
        <v>0</v>
      </c>
      <c r="I42" s="62">
        <v>26</v>
      </c>
      <c r="J42" s="51">
        <v>1</v>
      </c>
      <c r="K42" s="62">
        <f>SUM(G42:J42)</f>
        <v>32</v>
      </c>
      <c r="N42" t="s">
        <v>972</v>
      </c>
      <c r="O42">
        <v>0</v>
      </c>
    </row>
    <row r="43" spans="1:23" ht="15" thickBot="1">
      <c r="A43" t="s">
        <v>972</v>
      </c>
      <c r="B43">
        <v>0</v>
      </c>
      <c r="E43" s="64" t="s">
        <v>1280</v>
      </c>
      <c r="F43" s="51" t="s">
        <v>1284</v>
      </c>
      <c r="G43" s="62">
        <v>10</v>
      </c>
      <c r="H43" s="51">
        <v>3</v>
      </c>
      <c r="I43" s="62">
        <v>15</v>
      </c>
      <c r="J43" s="62">
        <v>0</v>
      </c>
      <c r="K43" s="62">
        <f>SUM(G43:J43)</f>
        <v>28</v>
      </c>
      <c r="N43" t="s">
        <v>972</v>
      </c>
      <c r="O43">
        <v>0</v>
      </c>
    </row>
    <row r="44" spans="1:23" ht="15" thickBot="1">
      <c r="A44" t="s">
        <v>972</v>
      </c>
      <c r="B44">
        <v>0</v>
      </c>
      <c r="E44" s="64" t="s">
        <v>1279</v>
      </c>
      <c r="F44" s="51" t="s">
        <v>1285</v>
      </c>
      <c r="G44" s="62">
        <v>10</v>
      </c>
      <c r="H44" s="51">
        <v>2</v>
      </c>
      <c r="I44" s="62">
        <v>8</v>
      </c>
      <c r="J44" s="62">
        <v>0</v>
      </c>
      <c r="K44" s="62">
        <f>SUM(G44:J44)</f>
        <v>20</v>
      </c>
      <c r="N44" t="s">
        <v>972</v>
      </c>
      <c r="O44">
        <v>0</v>
      </c>
    </row>
    <row r="45" spans="1:23" ht="15" thickBot="1">
      <c r="A45" t="s">
        <v>972</v>
      </c>
      <c r="B45">
        <v>0</v>
      </c>
      <c r="E45" s="64" t="s">
        <v>1281</v>
      </c>
      <c r="F45" s="51" t="s">
        <v>1286</v>
      </c>
      <c r="G45" s="62">
        <v>1</v>
      </c>
      <c r="H45" s="51">
        <v>1</v>
      </c>
      <c r="I45" s="62">
        <v>4</v>
      </c>
      <c r="J45" s="51">
        <v>0</v>
      </c>
      <c r="K45" s="62">
        <f>SUM(G45:J45)</f>
        <v>6</v>
      </c>
      <c r="N45" t="s">
        <v>972</v>
      </c>
      <c r="O45">
        <v>0</v>
      </c>
    </row>
    <row r="46" spans="1:23" ht="15" thickBot="1">
      <c r="A46" t="s">
        <v>972</v>
      </c>
      <c r="B46">
        <v>0</v>
      </c>
      <c r="E46" s="63" t="s">
        <v>1273</v>
      </c>
      <c r="F46" s="51" t="s">
        <v>1287</v>
      </c>
      <c r="G46" s="62">
        <v>2</v>
      </c>
      <c r="H46" s="62">
        <v>0</v>
      </c>
      <c r="I46" s="62">
        <v>2</v>
      </c>
      <c r="J46" s="51">
        <v>4</v>
      </c>
      <c r="K46" s="62">
        <f>SUM(G46:J46)</f>
        <v>8</v>
      </c>
      <c r="N46" t="s">
        <v>972</v>
      </c>
      <c r="O46">
        <v>0</v>
      </c>
    </row>
    <row r="47" spans="1:23" ht="15" thickBot="1">
      <c r="A47" t="s">
        <v>972</v>
      </c>
      <c r="B47">
        <v>0</v>
      </c>
      <c r="E47" s="53"/>
      <c r="F47" s="51"/>
      <c r="G47" s="51"/>
      <c r="H47" s="51"/>
      <c r="I47" s="51"/>
      <c r="J47" s="51"/>
      <c r="K47" s="51"/>
      <c r="N47" t="s">
        <v>972</v>
      </c>
      <c r="O47">
        <v>0</v>
      </c>
    </row>
    <row r="48" spans="1:23" ht="15" thickBot="1">
      <c r="A48" t="s">
        <v>972</v>
      </c>
      <c r="B48">
        <v>0</v>
      </c>
      <c r="E48" s="57"/>
      <c r="F48" s="57"/>
      <c r="G48" s="57">
        <f>SUM(G42:G47)</f>
        <v>28</v>
      </c>
      <c r="H48" s="57">
        <f>SUM(H43:H47)</f>
        <v>6</v>
      </c>
      <c r="I48" s="57">
        <f>SUM(I42:I47)</f>
        <v>55</v>
      </c>
      <c r="J48" s="57">
        <f>SUM(J42:J47)</f>
        <v>5</v>
      </c>
      <c r="K48" s="57"/>
      <c r="N48" t="s">
        <v>972</v>
      </c>
      <c r="O48">
        <v>0</v>
      </c>
    </row>
    <row r="49" spans="1:15" ht="15" thickBot="1">
      <c r="A49" t="s">
        <v>972</v>
      </c>
      <c r="B49">
        <v>0.1</v>
      </c>
      <c r="E49" s="53" t="s">
        <v>1274</v>
      </c>
      <c r="F49" s="51" t="s">
        <v>1288</v>
      </c>
      <c r="G49" s="51"/>
      <c r="H49" s="51"/>
      <c r="I49" s="51"/>
      <c r="J49" s="51"/>
      <c r="K49" s="51"/>
      <c r="N49" t="s">
        <v>972</v>
      </c>
      <c r="O49">
        <v>0</v>
      </c>
    </row>
    <row r="50" spans="1:15" ht="15" thickBot="1">
      <c r="A50" t="s">
        <v>972</v>
      </c>
      <c r="B50">
        <v>0.1</v>
      </c>
      <c r="E50" s="53" t="s">
        <v>1275</v>
      </c>
      <c r="F50" s="51" t="s">
        <v>1276</v>
      </c>
      <c r="G50" s="51" t="s">
        <v>1289</v>
      </c>
      <c r="H50" s="51" t="s">
        <v>1278</v>
      </c>
      <c r="I50" s="51" t="s">
        <v>1290</v>
      </c>
      <c r="J50" s="51" t="s">
        <v>1291</v>
      </c>
      <c r="K50" s="51"/>
      <c r="N50" t="s">
        <v>972</v>
      </c>
      <c r="O50">
        <v>0.1</v>
      </c>
    </row>
    <row r="51" spans="1:15" ht="15" thickBot="1">
      <c r="A51" t="s">
        <v>972</v>
      </c>
      <c r="B51">
        <v>0.2</v>
      </c>
      <c r="E51" s="53" t="s">
        <v>1277</v>
      </c>
      <c r="F51" s="51"/>
      <c r="G51" s="51"/>
      <c r="H51" s="51"/>
      <c r="I51" s="51"/>
      <c r="J51" s="51"/>
      <c r="K51" s="51"/>
      <c r="N51" t="s">
        <v>972</v>
      </c>
      <c r="O51">
        <v>0.15</v>
      </c>
    </row>
    <row r="52" spans="1:15">
      <c r="A52" t="s">
        <v>972</v>
      </c>
      <c r="B52">
        <v>0.2</v>
      </c>
      <c r="N52" t="s">
        <v>972</v>
      </c>
      <c r="O52">
        <v>0.2</v>
      </c>
    </row>
    <row r="53" spans="1:15">
      <c r="A53" t="s">
        <v>972</v>
      </c>
      <c r="B53">
        <v>0.2</v>
      </c>
      <c r="N53" t="s">
        <v>972</v>
      </c>
      <c r="O53">
        <v>0.2</v>
      </c>
    </row>
    <row r="54" spans="1:15">
      <c r="A54" t="s">
        <v>972</v>
      </c>
      <c r="B54">
        <v>0.2</v>
      </c>
      <c r="N54" t="s">
        <v>972</v>
      </c>
      <c r="O54">
        <v>0.2</v>
      </c>
    </row>
    <row r="55" spans="1:15">
      <c r="A55" t="s">
        <v>972</v>
      </c>
      <c r="B55">
        <v>0.2</v>
      </c>
      <c r="N55" t="s">
        <v>972</v>
      </c>
      <c r="O55">
        <v>0.5</v>
      </c>
    </row>
    <row r="56" spans="1:15">
      <c r="A56" t="s">
        <v>972</v>
      </c>
      <c r="B56">
        <v>0.3</v>
      </c>
      <c r="N56" t="s">
        <v>972</v>
      </c>
      <c r="O56">
        <v>0.5</v>
      </c>
    </row>
    <row r="57" spans="1:15">
      <c r="A57" t="s">
        <v>972</v>
      </c>
      <c r="B57">
        <v>0.3</v>
      </c>
      <c r="N57" t="s">
        <v>972</v>
      </c>
      <c r="O57">
        <v>0.5</v>
      </c>
    </row>
    <row r="58" spans="1:15">
      <c r="A58" t="s">
        <v>972</v>
      </c>
      <c r="B58">
        <v>0.3</v>
      </c>
      <c r="N58" t="s">
        <v>972</v>
      </c>
      <c r="O58">
        <v>0.5</v>
      </c>
    </row>
    <row r="59" spans="1:15">
      <c r="A59" t="s">
        <v>972</v>
      </c>
      <c r="B59">
        <v>0.4</v>
      </c>
      <c r="N59" t="s">
        <v>972</v>
      </c>
      <c r="O59">
        <v>0.5</v>
      </c>
    </row>
    <row r="60" spans="1:15">
      <c r="A60" t="s">
        <v>972</v>
      </c>
      <c r="B60">
        <v>0.5</v>
      </c>
      <c r="N60" t="s">
        <v>972</v>
      </c>
      <c r="O60">
        <v>0.5</v>
      </c>
    </row>
    <row r="61" spans="1:15">
      <c r="A61" t="s">
        <v>972</v>
      </c>
      <c r="B61">
        <v>0.66</v>
      </c>
      <c r="N61" t="s">
        <v>972</v>
      </c>
      <c r="O61">
        <v>0.6</v>
      </c>
    </row>
    <row r="62" spans="1:15">
      <c r="A62" t="s">
        <v>972</v>
      </c>
      <c r="B62">
        <v>0.75</v>
      </c>
      <c r="N62" t="s">
        <v>972</v>
      </c>
      <c r="O62">
        <v>0.6</v>
      </c>
    </row>
    <row r="63" spans="1:15">
      <c r="A63" t="s">
        <v>972</v>
      </c>
      <c r="B63">
        <v>0.8</v>
      </c>
      <c r="N63" t="s">
        <v>972</v>
      </c>
      <c r="O63">
        <v>0.8</v>
      </c>
    </row>
    <row r="64" spans="1:15">
      <c r="A64" t="s">
        <v>972</v>
      </c>
      <c r="B64">
        <v>0.8</v>
      </c>
      <c r="N64" t="s">
        <v>972</v>
      </c>
      <c r="O64">
        <v>1</v>
      </c>
    </row>
    <row r="65" spans="1:15">
      <c r="A65" t="s">
        <v>972</v>
      </c>
      <c r="B65">
        <v>1</v>
      </c>
      <c r="N65" t="s">
        <v>972</v>
      </c>
      <c r="O65">
        <v>1</v>
      </c>
    </row>
    <row r="66" spans="1:15">
      <c r="A66" t="s">
        <v>972</v>
      </c>
      <c r="B66">
        <v>1</v>
      </c>
      <c r="N66" t="s">
        <v>972</v>
      </c>
      <c r="O66">
        <v>1</v>
      </c>
    </row>
    <row r="67" spans="1:15">
      <c r="A67" t="s">
        <v>972</v>
      </c>
      <c r="B67">
        <v>1</v>
      </c>
      <c r="N67" t="s">
        <v>972</v>
      </c>
      <c r="O67">
        <v>1</v>
      </c>
    </row>
    <row r="68" spans="1:15">
      <c r="A68" t="s">
        <v>972</v>
      </c>
      <c r="B68">
        <v>1</v>
      </c>
      <c r="N68" t="s">
        <v>972</v>
      </c>
      <c r="O68">
        <v>1</v>
      </c>
    </row>
    <row r="69" spans="1:15">
      <c r="A69" t="s">
        <v>972</v>
      </c>
      <c r="B69">
        <v>1</v>
      </c>
      <c r="N69" t="s">
        <v>972</v>
      </c>
      <c r="O69">
        <v>2</v>
      </c>
    </row>
    <row r="70" spans="1:15">
      <c r="A70" t="s">
        <v>972</v>
      </c>
      <c r="B70">
        <v>1</v>
      </c>
      <c r="N70" t="s">
        <v>972</v>
      </c>
      <c r="O70">
        <v>2</v>
      </c>
    </row>
    <row r="71" spans="1:15">
      <c r="A71" t="s">
        <v>972</v>
      </c>
      <c r="B71">
        <v>1</v>
      </c>
      <c r="N71" t="s">
        <v>972</v>
      </c>
      <c r="O71">
        <v>2</v>
      </c>
    </row>
    <row r="72" spans="1:15">
      <c r="A72" t="s">
        <v>972</v>
      </c>
      <c r="B72">
        <v>1</v>
      </c>
      <c r="N72" t="s">
        <v>972</v>
      </c>
      <c r="O72">
        <v>2</v>
      </c>
    </row>
    <row r="73" spans="1:15">
      <c r="A73" t="s">
        <v>972</v>
      </c>
      <c r="B73">
        <v>1.2</v>
      </c>
      <c r="N73" t="s">
        <v>972</v>
      </c>
      <c r="O73">
        <v>2</v>
      </c>
    </row>
    <row r="74" spans="1:15">
      <c r="A74" t="s">
        <v>972</v>
      </c>
      <c r="B74">
        <v>1.8</v>
      </c>
      <c r="N74" t="s">
        <v>972</v>
      </c>
      <c r="O74">
        <v>2</v>
      </c>
    </row>
    <row r="75" spans="1:15">
      <c r="A75" t="s">
        <v>972</v>
      </c>
      <c r="B75">
        <v>2</v>
      </c>
      <c r="N75" t="s">
        <v>972</v>
      </c>
      <c r="O75">
        <v>2.5</v>
      </c>
    </row>
    <row r="76" spans="1:15">
      <c r="A76" t="s">
        <v>972</v>
      </c>
      <c r="B76">
        <v>2</v>
      </c>
      <c r="N76" t="s">
        <v>972</v>
      </c>
      <c r="O76">
        <v>2.5</v>
      </c>
    </row>
    <row r="77" spans="1:15">
      <c r="A77" t="s">
        <v>972</v>
      </c>
      <c r="B77">
        <v>2</v>
      </c>
      <c r="N77" t="s">
        <v>972</v>
      </c>
      <c r="O77">
        <v>3</v>
      </c>
    </row>
    <row r="78" spans="1:15">
      <c r="A78" t="s">
        <v>972</v>
      </c>
      <c r="B78">
        <v>2</v>
      </c>
      <c r="N78" t="s">
        <v>972</v>
      </c>
      <c r="O78">
        <v>3</v>
      </c>
    </row>
    <row r="79" spans="1:15">
      <c r="A79" t="s">
        <v>972</v>
      </c>
      <c r="B79">
        <v>2</v>
      </c>
      <c r="N79" t="s">
        <v>972</v>
      </c>
      <c r="O79">
        <v>3</v>
      </c>
    </row>
    <row r="80" spans="1:15">
      <c r="A80" t="s">
        <v>972</v>
      </c>
      <c r="B80">
        <v>3</v>
      </c>
      <c r="N80" t="s">
        <v>972</v>
      </c>
      <c r="O80">
        <v>3</v>
      </c>
    </row>
    <row r="81" spans="1:15">
      <c r="A81" t="s">
        <v>972</v>
      </c>
      <c r="B81">
        <v>3</v>
      </c>
      <c r="N81" t="s">
        <v>972</v>
      </c>
      <c r="O81">
        <v>3</v>
      </c>
    </row>
    <row r="82" spans="1:15">
      <c r="A82" t="s">
        <v>972</v>
      </c>
      <c r="B82">
        <v>3</v>
      </c>
      <c r="N82" t="s">
        <v>972</v>
      </c>
      <c r="O82">
        <v>4</v>
      </c>
    </row>
    <row r="83" spans="1:15">
      <c r="A83" t="s">
        <v>972</v>
      </c>
      <c r="B83">
        <v>4</v>
      </c>
      <c r="N83" t="s">
        <v>972</v>
      </c>
      <c r="O83">
        <v>4</v>
      </c>
    </row>
    <row r="84" spans="1:15">
      <c r="A84" t="s">
        <v>972</v>
      </c>
      <c r="B84">
        <v>4</v>
      </c>
      <c r="N84" t="s">
        <v>972</v>
      </c>
      <c r="O84">
        <v>4</v>
      </c>
    </row>
    <row r="85" spans="1:15">
      <c r="A85" t="s">
        <v>972</v>
      </c>
      <c r="B85">
        <v>4</v>
      </c>
      <c r="N85" t="s">
        <v>972</v>
      </c>
      <c r="O85">
        <v>4</v>
      </c>
    </row>
    <row r="86" spans="1:15">
      <c r="A86" t="s">
        <v>972</v>
      </c>
      <c r="B86">
        <v>5</v>
      </c>
      <c r="N86" t="s">
        <v>972</v>
      </c>
      <c r="O86">
        <v>5</v>
      </c>
    </row>
    <row r="87" spans="1:15">
      <c r="A87" t="s">
        <v>972</v>
      </c>
      <c r="B87">
        <v>5</v>
      </c>
      <c r="N87" t="s">
        <v>972</v>
      </c>
      <c r="O87">
        <v>5</v>
      </c>
    </row>
    <row r="88" spans="1:15">
      <c r="A88" t="s">
        <v>972</v>
      </c>
      <c r="B88">
        <v>5.3</v>
      </c>
      <c r="N88" t="s">
        <v>972</v>
      </c>
      <c r="O88">
        <v>5</v>
      </c>
    </row>
    <row r="89" spans="1:15">
      <c r="A89" t="s">
        <v>972</v>
      </c>
      <c r="B89">
        <v>6</v>
      </c>
      <c r="N89" t="s">
        <v>972</v>
      </c>
      <c r="O89">
        <v>6</v>
      </c>
    </row>
    <row r="90" spans="1:15">
      <c r="A90" t="s">
        <v>972</v>
      </c>
      <c r="B90">
        <v>6</v>
      </c>
      <c r="N90" t="s">
        <v>972</v>
      </c>
      <c r="O90">
        <v>10</v>
      </c>
    </row>
    <row r="91" spans="1:15">
      <c r="A91" t="s">
        <v>972</v>
      </c>
      <c r="B91">
        <v>9</v>
      </c>
      <c r="N91" t="s">
        <v>972</v>
      </c>
      <c r="O91">
        <v>15</v>
      </c>
    </row>
    <row r="92" spans="1:15">
      <c r="A92" t="s">
        <v>972</v>
      </c>
      <c r="B92">
        <v>10.38</v>
      </c>
      <c r="N92" t="s">
        <v>972</v>
      </c>
      <c r="O92">
        <v>30</v>
      </c>
    </row>
    <row r="93" spans="1:15">
      <c r="A93" t="s">
        <v>972</v>
      </c>
      <c r="B93">
        <v>35</v>
      </c>
      <c r="N93" t="s">
        <v>972</v>
      </c>
      <c r="O93">
        <v>50</v>
      </c>
    </row>
    <row r="94" spans="1:15">
      <c r="A94" t="s">
        <v>954</v>
      </c>
      <c r="B94">
        <v>0</v>
      </c>
      <c r="N94" t="s">
        <v>954</v>
      </c>
      <c r="O94">
        <v>0</v>
      </c>
    </row>
    <row r="95" spans="1:15">
      <c r="A95" t="s">
        <v>954</v>
      </c>
      <c r="B95">
        <v>10</v>
      </c>
      <c r="N95" t="s">
        <v>954</v>
      </c>
      <c r="O95">
        <v>0</v>
      </c>
    </row>
    <row r="96" spans="1:15">
      <c r="A96" t="s">
        <v>954</v>
      </c>
      <c r="B96">
        <v>15</v>
      </c>
      <c r="N96" t="s">
        <v>954</v>
      </c>
      <c r="O96">
        <v>2</v>
      </c>
    </row>
    <row r="97" spans="1:15">
      <c r="A97" t="s">
        <v>954</v>
      </c>
      <c r="B97">
        <v>30</v>
      </c>
      <c r="N97" t="s">
        <v>954</v>
      </c>
      <c r="O97">
        <v>3</v>
      </c>
    </row>
    <row r="98" spans="1:15">
      <c r="A98" t="s">
        <v>954</v>
      </c>
      <c r="B98">
        <v>80</v>
      </c>
      <c r="N98" t="s">
        <v>954</v>
      </c>
      <c r="O98">
        <v>3</v>
      </c>
    </row>
    <row r="100" spans="1:15">
      <c r="B100">
        <f>SUM(B5:B99)</f>
        <v>415.64</v>
      </c>
      <c r="O100">
        <f>SUM(O5:O99)</f>
        <v>716.95000000000027</v>
      </c>
    </row>
  </sheetData>
  <sortState ref="N5:O98">
    <sortCondition ref="N5:N98"/>
    <sortCondition ref="O5:O98"/>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167"/>
  <sheetViews>
    <sheetView zoomScaleNormal="100" workbookViewId="0"/>
  </sheetViews>
  <sheetFormatPr defaultRowHeight="14.4"/>
  <cols>
    <col min="1" max="1" width="18.109375" customWidth="1"/>
    <col min="3" max="3" width="4.109375" style="2" customWidth="1"/>
    <col min="4" max="4" width="30" customWidth="1"/>
    <col min="5" max="5" width="15.88671875" customWidth="1"/>
    <col min="6" max="6" width="15" customWidth="1"/>
    <col min="7" max="7" width="14" customWidth="1"/>
    <col min="9" max="9" width="16.88671875" customWidth="1"/>
    <col min="10" max="10" width="16" customWidth="1"/>
  </cols>
  <sheetData>
    <row r="1" spans="1:10">
      <c r="A1" s="3" t="s">
        <v>970</v>
      </c>
    </row>
    <row r="3" spans="1:10">
      <c r="A3" s="1" t="s">
        <v>1006</v>
      </c>
      <c r="B3" s="1" t="s">
        <v>1007</v>
      </c>
    </row>
    <row r="4" spans="1:10">
      <c r="A4" t="s">
        <v>974</v>
      </c>
      <c r="B4" s="15">
        <v>0.5</v>
      </c>
    </row>
    <row r="5" spans="1:10">
      <c r="A5" t="s">
        <v>974</v>
      </c>
      <c r="B5" s="15">
        <v>1</v>
      </c>
      <c r="D5" s="16"/>
    </row>
    <row r="6" spans="1:10">
      <c r="A6" t="s">
        <v>974</v>
      </c>
      <c r="B6" s="15">
        <v>1</v>
      </c>
      <c r="D6" s="8" t="s">
        <v>975</v>
      </c>
    </row>
    <row r="7" spans="1:10">
      <c r="A7" t="s">
        <v>974</v>
      </c>
      <c r="B7" s="15">
        <v>1.5</v>
      </c>
      <c r="E7" s="1" t="s">
        <v>1013</v>
      </c>
      <c r="G7" s="1" t="s">
        <v>990</v>
      </c>
    </row>
    <row r="8" spans="1:10">
      <c r="A8" t="s">
        <v>974</v>
      </c>
      <c r="B8" s="15">
        <v>1.9</v>
      </c>
      <c r="E8" s="19" t="s">
        <v>976</v>
      </c>
      <c r="F8" s="19" t="s">
        <v>977</v>
      </c>
      <c r="J8" t="s">
        <v>991</v>
      </c>
    </row>
    <row r="9" spans="1:10">
      <c r="A9" t="s">
        <v>974</v>
      </c>
      <c r="B9" s="15">
        <v>2.94</v>
      </c>
      <c r="D9" s="17" t="s">
        <v>1011</v>
      </c>
      <c r="E9" s="15">
        <f>SUM(B4:B38)</f>
        <v>685.52</v>
      </c>
      <c r="F9" s="15">
        <f>E9/35</f>
        <v>19.586285714285715</v>
      </c>
      <c r="G9">
        <v>35</v>
      </c>
      <c r="I9" s="17" t="s">
        <v>979</v>
      </c>
      <c r="J9" s="15">
        <v>108.2</v>
      </c>
    </row>
    <row r="10" spans="1:10">
      <c r="A10" t="s">
        <v>974</v>
      </c>
      <c r="B10" s="15">
        <v>3</v>
      </c>
      <c r="D10" s="17" t="s">
        <v>1012</v>
      </c>
      <c r="E10" s="15">
        <f>SUM(B39:B44)</f>
        <v>214.4</v>
      </c>
      <c r="F10" s="15">
        <f>E10/6</f>
        <v>35.733333333333334</v>
      </c>
      <c r="G10">
        <v>101</v>
      </c>
      <c r="I10" s="17" t="s">
        <v>1012</v>
      </c>
      <c r="J10" s="15">
        <v>36</v>
      </c>
    </row>
    <row r="11" spans="1:10">
      <c r="A11" t="s">
        <v>974</v>
      </c>
      <c r="B11" s="15">
        <v>3</v>
      </c>
      <c r="D11" s="17" t="s">
        <v>1014</v>
      </c>
      <c r="E11" s="15">
        <f>SUM(B45:B128)</f>
        <v>1569.72</v>
      </c>
      <c r="F11" s="15">
        <f>E11/84</f>
        <v>18.687142857142856</v>
      </c>
      <c r="G11">
        <v>29</v>
      </c>
      <c r="I11" s="17" t="s">
        <v>1011</v>
      </c>
      <c r="J11" s="15">
        <v>20</v>
      </c>
    </row>
    <row r="12" spans="1:10">
      <c r="A12" t="s">
        <v>974</v>
      </c>
      <c r="B12" s="15">
        <v>3.5</v>
      </c>
      <c r="D12" s="17" t="s">
        <v>979</v>
      </c>
      <c r="E12" s="15">
        <f>SUM(B129:B134)</f>
        <v>649.20000000000005</v>
      </c>
      <c r="F12" s="15">
        <f>E12/6</f>
        <v>108.2</v>
      </c>
      <c r="G12" s="5" t="s">
        <v>988</v>
      </c>
      <c r="I12" s="17" t="s">
        <v>1014</v>
      </c>
      <c r="J12" s="15">
        <v>19</v>
      </c>
    </row>
    <row r="13" spans="1:10">
      <c r="A13" t="s">
        <v>974</v>
      </c>
      <c r="B13" s="15">
        <v>3.5</v>
      </c>
      <c r="I13" s="34" t="s">
        <v>1018</v>
      </c>
      <c r="J13" s="15">
        <v>22</v>
      </c>
    </row>
    <row r="14" spans="1:10">
      <c r="A14" t="s">
        <v>974</v>
      </c>
      <c r="B14" s="15">
        <v>4.7</v>
      </c>
      <c r="I14" s="34" t="s">
        <v>967</v>
      </c>
      <c r="J14" s="15">
        <v>7</v>
      </c>
    </row>
    <row r="15" spans="1:10">
      <c r="A15" t="s">
        <v>974</v>
      </c>
      <c r="B15" s="15">
        <v>5</v>
      </c>
      <c r="D15" s="18" t="s">
        <v>978</v>
      </c>
      <c r="E15" s="15">
        <f>SUM(E9:E14)</f>
        <v>3118.84</v>
      </c>
      <c r="G15">
        <v>3476</v>
      </c>
    </row>
    <row r="16" spans="1:10">
      <c r="A16" t="s">
        <v>974</v>
      </c>
      <c r="B16" s="15">
        <v>5.49</v>
      </c>
      <c r="D16" t="s">
        <v>989</v>
      </c>
      <c r="E16" s="15">
        <f>E15/142</f>
        <v>21.963661971830987</v>
      </c>
      <c r="G16">
        <v>40</v>
      </c>
    </row>
    <row r="17" spans="1:9">
      <c r="A17" t="s">
        <v>974</v>
      </c>
      <c r="B17" s="15">
        <v>5.5</v>
      </c>
      <c r="D17" t="s">
        <v>967</v>
      </c>
      <c r="E17">
        <v>7</v>
      </c>
      <c r="G17">
        <v>9</v>
      </c>
    </row>
    <row r="18" spans="1:9">
      <c r="A18" t="s">
        <v>974</v>
      </c>
      <c r="B18" s="15">
        <v>5.5</v>
      </c>
    </row>
    <row r="19" spans="1:9">
      <c r="A19" t="s">
        <v>974</v>
      </c>
      <c r="B19" s="15">
        <v>6.1</v>
      </c>
    </row>
    <row r="20" spans="1:9">
      <c r="A20" t="s">
        <v>974</v>
      </c>
      <c r="B20" s="15">
        <v>6.3</v>
      </c>
      <c r="D20" s="16" t="s">
        <v>980</v>
      </c>
      <c r="E20" s="17" t="s">
        <v>974</v>
      </c>
      <c r="F20" s="17" t="s">
        <v>973</v>
      </c>
      <c r="G20" s="17" t="s">
        <v>972</v>
      </c>
      <c r="H20" s="17" t="s">
        <v>954</v>
      </c>
      <c r="I20" s="18" t="s">
        <v>978</v>
      </c>
    </row>
    <row r="21" spans="1:9">
      <c r="A21" t="s">
        <v>974</v>
      </c>
      <c r="B21" s="15">
        <v>7</v>
      </c>
      <c r="D21" s="20" t="s">
        <v>981</v>
      </c>
      <c r="E21">
        <v>0</v>
      </c>
      <c r="F21">
        <v>0</v>
      </c>
      <c r="G21">
        <v>10</v>
      </c>
      <c r="H21">
        <v>0</v>
      </c>
      <c r="I21" s="8">
        <f t="shared" ref="I21:I27" si="0">SUM(E21:H21)</f>
        <v>10</v>
      </c>
    </row>
    <row r="22" spans="1:9">
      <c r="A22" t="s">
        <v>974</v>
      </c>
      <c r="B22" s="15">
        <v>8.8000000000000007</v>
      </c>
      <c r="D22" s="21" t="s">
        <v>982</v>
      </c>
      <c r="E22">
        <v>13</v>
      </c>
      <c r="F22">
        <v>1</v>
      </c>
      <c r="G22">
        <v>35</v>
      </c>
      <c r="H22">
        <v>2</v>
      </c>
      <c r="I22" s="8">
        <f t="shared" si="0"/>
        <v>51</v>
      </c>
    </row>
    <row r="23" spans="1:9">
      <c r="A23" t="s">
        <v>974</v>
      </c>
      <c r="B23" s="15">
        <v>9.6999999999999993</v>
      </c>
      <c r="D23" s="21" t="s">
        <v>983</v>
      </c>
      <c r="E23" s="22">
        <v>13</v>
      </c>
      <c r="F23" s="22">
        <v>1</v>
      </c>
      <c r="G23" s="22">
        <v>18</v>
      </c>
      <c r="H23" s="22">
        <v>0</v>
      </c>
      <c r="I23" s="8">
        <f t="shared" si="0"/>
        <v>32</v>
      </c>
    </row>
    <row r="24" spans="1:9">
      <c r="A24" t="s">
        <v>974</v>
      </c>
      <c r="B24" s="15">
        <v>10.8</v>
      </c>
      <c r="D24" s="21" t="s">
        <v>984</v>
      </c>
      <c r="E24" s="22">
        <v>5</v>
      </c>
      <c r="F24" s="22">
        <v>3</v>
      </c>
      <c r="G24" s="22">
        <v>10</v>
      </c>
      <c r="H24" s="22">
        <v>1</v>
      </c>
      <c r="I24" s="8">
        <f t="shared" si="0"/>
        <v>19</v>
      </c>
    </row>
    <row r="25" spans="1:9">
      <c r="A25" t="s">
        <v>974</v>
      </c>
      <c r="B25" s="15">
        <v>13</v>
      </c>
      <c r="D25" s="21" t="s">
        <v>985</v>
      </c>
      <c r="E25" s="22">
        <v>3</v>
      </c>
      <c r="F25" s="22">
        <v>1</v>
      </c>
      <c r="G25" s="22">
        <v>8</v>
      </c>
      <c r="H25" s="22">
        <v>0</v>
      </c>
      <c r="I25" s="8">
        <f t="shared" si="0"/>
        <v>12</v>
      </c>
    </row>
    <row r="26" spans="1:9">
      <c r="A26" t="s">
        <v>974</v>
      </c>
      <c r="B26" s="15">
        <v>13</v>
      </c>
      <c r="D26" s="21" t="s">
        <v>986</v>
      </c>
      <c r="E26" s="22">
        <v>1</v>
      </c>
      <c r="F26" s="22">
        <v>0</v>
      </c>
      <c r="G26" s="22">
        <v>3</v>
      </c>
      <c r="H26" s="22">
        <v>2</v>
      </c>
      <c r="I26" s="8">
        <f t="shared" si="0"/>
        <v>6</v>
      </c>
    </row>
    <row r="27" spans="1:9">
      <c r="A27" t="s">
        <v>974</v>
      </c>
      <c r="B27" s="15">
        <v>15.5</v>
      </c>
      <c r="D27" s="6" t="s">
        <v>987</v>
      </c>
      <c r="E27" s="22">
        <v>0</v>
      </c>
      <c r="F27" s="22">
        <v>0</v>
      </c>
      <c r="G27" s="22">
        <v>0</v>
      </c>
      <c r="H27" s="22">
        <v>1</v>
      </c>
      <c r="I27" s="8">
        <f t="shared" si="0"/>
        <v>1</v>
      </c>
    </row>
    <row r="28" spans="1:9">
      <c r="A28" t="s">
        <v>974</v>
      </c>
      <c r="B28" s="15">
        <v>16</v>
      </c>
      <c r="D28" s="6"/>
      <c r="E28" s="22"/>
      <c r="F28" s="22"/>
      <c r="G28" s="22"/>
      <c r="H28" s="22"/>
      <c r="I28" s="8"/>
    </row>
    <row r="29" spans="1:9">
      <c r="A29" t="s">
        <v>974</v>
      </c>
      <c r="B29" s="15">
        <v>20</v>
      </c>
      <c r="D29" s="6"/>
      <c r="E29" s="23">
        <f>SUM(E21:E28)</f>
        <v>35</v>
      </c>
      <c r="F29" s="23">
        <f>SUM(F21:F28)</f>
        <v>6</v>
      </c>
      <c r="G29" s="23">
        <f>SUM(G21:G28)</f>
        <v>84</v>
      </c>
      <c r="H29" s="23">
        <f>SUM(H21:H28)</f>
        <v>6</v>
      </c>
      <c r="I29" s="23">
        <f>SUM(I21:I28)</f>
        <v>131</v>
      </c>
    </row>
    <row r="30" spans="1:9">
      <c r="A30" t="s">
        <v>974</v>
      </c>
      <c r="B30" s="15">
        <v>32</v>
      </c>
    </row>
    <row r="31" spans="1:9">
      <c r="A31" t="s">
        <v>974</v>
      </c>
      <c r="B31" s="15">
        <v>39.53</v>
      </c>
    </row>
    <row r="32" spans="1:9">
      <c r="A32" t="s">
        <v>974</v>
      </c>
      <c r="B32" s="15">
        <v>44.76</v>
      </c>
    </row>
    <row r="33" spans="1:11">
      <c r="A33" t="s">
        <v>974</v>
      </c>
      <c r="B33" s="15">
        <v>45</v>
      </c>
      <c r="D33" s="3" t="s">
        <v>992</v>
      </c>
      <c r="E33" t="s">
        <v>1010</v>
      </c>
      <c r="F33" t="s">
        <v>964</v>
      </c>
      <c r="G33" t="s">
        <v>1008</v>
      </c>
      <c r="H33" t="s">
        <v>1009</v>
      </c>
    </row>
    <row r="34" spans="1:11">
      <c r="A34" t="s">
        <v>974</v>
      </c>
      <c r="B34" s="15">
        <v>45</v>
      </c>
      <c r="E34" t="s">
        <v>972</v>
      </c>
      <c r="F34" t="s">
        <v>516</v>
      </c>
      <c r="G34" s="12">
        <v>10000</v>
      </c>
      <c r="H34" s="30">
        <v>0</v>
      </c>
    </row>
    <row r="35" spans="1:11">
      <c r="A35" t="s">
        <v>974</v>
      </c>
      <c r="B35" s="15">
        <v>60</v>
      </c>
      <c r="E35" t="s">
        <v>972</v>
      </c>
      <c r="F35" t="s">
        <v>516</v>
      </c>
      <c r="G35" s="12">
        <v>10000</v>
      </c>
      <c r="H35" s="30">
        <v>0</v>
      </c>
    </row>
    <row r="36" spans="1:11">
      <c r="A36" t="s">
        <v>974</v>
      </c>
      <c r="B36" s="15">
        <v>60</v>
      </c>
      <c r="E36" t="s">
        <v>972</v>
      </c>
      <c r="F36" t="s">
        <v>516</v>
      </c>
      <c r="G36" s="12">
        <v>10000</v>
      </c>
      <c r="H36" s="30">
        <v>0</v>
      </c>
    </row>
    <row r="37" spans="1:11">
      <c r="A37" t="s">
        <v>974</v>
      </c>
      <c r="B37" s="15">
        <v>65</v>
      </c>
      <c r="E37" t="s">
        <v>972</v>
      </c>
      <c r="F37" t="s">
        <v>516</v>
      </c>
      <c r="G37" s="12">
        <v>10000</v>
      </c>
      <c r="H37" s="30">
        <v>1</v>
      </c>
    </row>
    <row r="38" spans="1:11">
      <c r="A38" t="s">
        <v>974</v>
      </c>
      <c r="B38" s="15">
        <v>120</v>
      </c>
      <c r="E38" t="s">
        <v>972</v>
      </c>
      <c r="F38" t="s">
        <v>516</v>
      </c>
      <c r="G38" s="12">
        <v>10000</v>
      </c>
      <c r="H38" s="30">
        <v>1</v>
      </c>
    </row>
    <row r="39" spans="1:11">
      <c r="A39" t="s">
        <v>973</v>
      </c>
      <c r="B39" s="15">
        <v>3</v>
      </c>
      <c r="E39" t="s">
        <v>972</v>
      </c>
      <c r="F39" t="s">
        <v>516</v>
      </c>
      <c r="G39" s="12">
        <v>10000</v>
      </c>
      <c r="H39" s="30">
        <v>2</v>
      </c>
    </row>
    <row r="40" spans="1:11">
      <c r="A40" t="s">
        <v>973</v>
      </c>
      <c r="B40" s="15">
        <v>8.4</v>
      </c>
      <c r="E40" t="s">
        <v>972</v>
      </c>
      <c r="F40" t="s">
        <v>517</v>
      </c>
      <c r="G40" s="12">
        <v>30000</v>
      </c>
      <c r="H40" s="30">
        <v>0</v>
      </c>
    </row>
    <row r="41" spans="1:11">
      <c r="A41" t="s">
        <v>973</v>
      </c>
      <c r="B41" s="15">
        <v>45</v>
      </c>
      <c r="E41" t="s">
        <v>972</v>
      </c>
      <c r="F41" t="s">
        <v>517</v>
      </c>
      <c r="G41" s="12">
        <v>30000</v>
      </c>
      <c r="H41" s="30">
        <v>0</v>
      </c>
    </row>
    <row r="42" spans="1:11">
      <c r="A42" t="s">
        <v>973</v>
      </c>
      <c r="B42" s="15">
        <v>45</v>
      </c>
      <c r="E42" t="s">
        <v>972</v>
      </c>
      <c r="F42" t="s">
        <v>517</v>
      </c>
      <c r="G42" s="12">
        <v>30000</v>
      </c>
      <c r="H42" s="30">
        <v>0</v>
      </c>
    </row>
    <row r="43" spans="1:11">
      <c r="A43" t="s">
        <v>973</v>
      </c>
      <c r="B43" s="15">
        <v>47</v>
      </c>
      <c r="E43" t="s">
        <v>972</v>
      </c>
      <c r="F43" t="s">
        <v>517</v>
      </c>
      <c r="G43" s="12">
        <v>30000</v>
      </c>
      <c r="H43" s="30">
        <v>0</v>
      </c>
    </row>
    <row r="44" spans="1:11">
      <c r="A44" t="s">
        <v>973</v>
      </c>
      <c r="B44" s="15">
        <v>66</v>
      </c>
      <c r="E44" t="s">
        <v>972</v>
      </c>
      <c r="F44" t="s">
        <v>517</v>
      </c>
      <c r="G44" s="12">
        <v>30000</v>
      </c>
      <c r="H44" s="30">
        <v>0</v>
      </c>
    </row>
    <row r="45" spans="1:11">
      <c r="A45" t="s">
        <v>972</v>
      </c>
      <c r="B45" s="15">
        <v>0</v>
      </c>
      <c r="E45" t="s">
        <v>974</v>
      </c>
      <c r="F45" t="s">
        <v>517</v>
      </c>
      <c r="G45" s="12">
        <v>30000</v>
      </c>
      <c r="H45" s="30">
        <v>0.5</v>
      </c>
    </row>
    <row r="46" spans="1:11">
      <c r="A46" t="s">
        <v>972</v>
      </c>
      <c r="B46" s="15">
        <v>0</v>
      </c>
      <c r="E46" t="s">
        <v>972</v>
      </c>
      <c r="F46" t="s">
        <v>517</v>
      </c>
      <c r="G46" s="12">
        <v>30000</v>
      </c>
      <c r="H46" s="30">
        <v>0.9</v>
      </c>
    </row>
    <row r="47" spans="1:11">
      <c r="A47" t="s">
        <v>972</v>
      </c>
      <c r="B47" s="15">
        <v>0</v>
      </c>
      <c r="E47" t="s">
        <v>974</v>
      </c>
      <c r="F47" t="s">
        <v>517</v>
      </c>
      <c r="G47" s="12">
        <v>30000</v>
      </c>
      <c r="H47" s="30">
        <v>1</v>
      </c>
      <c r="J47" s="6" t="s">
        <v>993</v>
      </c>
      <c r="K47" s="16" t="s">
        <v>994</v>
      </c>
    </row>
    <row r="48" spans="1:11">
      <c r="A48" t="s">
        <v>972</v>
      </c>
      <c r="B48" s="15">
        <v>0</v>
      </c>
      <c r="E48" t="s">
        <v>972</v>
      </c>
      <c r="F48" t="s">
        <v>517</v>
      </c>
      <c r="G48" s="12">
        <v>30000</v>
      </c>
      <c r="H48" s="30">
        <v>1</v>
      </c>
      <c r="J48" s="21" t="s">
        <v>1213</v>
      </c>
      <c r="K48" s="24">
        <f>SUM(H34:H39)/6</f>
        <v>0.66666666666666663</v>
      </c>
    </row>
    <row r="49" spans="1:11">
      <c r="A49" t="s">
        <v>972</v>
      </c>
      <c r="B49" s="15">
        <v>0</v>
      </c>
      <c r="E49" t="s">
        <v>974</v>
      </c>
      <c r="F49" t="s">
        <v>517</v>
      </c>
      <c r="G49" s="12">
        <v>30000</v>
      </c>
      <c r="H49" s="30">
        <v>1.5</v>
      </c>
      <c r="J49" s="21" t="s">
        <v>997</v>
      </c>
      <c r="K49" s="24">
        <f>SUM(H40:H50)/11</f>
        <v>1.6272727272727272</v>
      </c>
    </row>
    <row r="50" spans="1:11">
      <c r="A50" t="s">
        <v>972</v>
      </c>
      <c r="B50" s="15">
        <v>0</v>
      </c>
      <c r="E50" t="s">
        <v>974</v>
      </c>
      <c r="F50" t="s">
        <v>517</v>
      </c>
      <c r="G50" s="12">
        <v>30000</v>
      </c>
      <c r="H50" s="30">
        <v>13</v>
      </c>
      <c r="J50" s="21" t="s">
        <v>995</v>
      </c>
      <c r="K50" s="24">
        <f>SUM(H51:H56)/6</f>
        <v>2.3199999999999998</v>
      </c>
    </row>
    <row r="51" spans="1:11">
      <c r="A51" t="s">
        <v>972</v>
      </c>
      <c r="B51" s="15">
        <v>0</v>
      </c>
      <c r="E51" t="s">
        <v>972</v>
      </c>
      <c r="F51" t="s">
        <v>545</v>
      </c>
      <c r="G51" s="12">
        <v>75000</v>
      </c>
      <c r="H51" s="30">
        <v>0</v>
      </c>
      <c r="J51" s="21" t="s">
        <v>1016</v>
      </c>
      <c r="K51" s="24">
        <f>SUM(H57:H100)/44</f>
        <v>3.5820454545454541</v>
      </c>
    </row>
    <row r="52" spans="1:11">
      <c r="A52" t="s">
        <v>972</v>
      </c>
      <c r="B52" s="15">
        <v>0</v>
      </c>
      <c r="E52" t="s">
        <v>972</v>
      </c>
      <c r="F52" t="s">
        <v>545</v>
      </c>
      <c r="G52" s="12">
        <v>75000</v>
      </c>
      <c r="H52" s="30">
        <v>0</v>
      </c>
      <c r="J52" s="21" t="s">
        <v>1015</v>
      </c>
      <c r="K52" s="24">
        <f>SUM(H101:H109)/9</f>
        <v>7.8222222222222229</v>
      </c>
    </row>
    <row r="53" spans="1:11">
      <c r="A53" t="s">
        <v>972</v>
      </c>
      <c r="B53" s="15">
        <v>0</v>
      </c>
      <c r="E53" t="s">
        <v>972</v>
      </c>
      <c r="F53" t="s">
        <v>545</v>
      </c>
      <c r="G53" s="12">
        <v>75000</v>
      </c>
      <c r="H53" s="30">
        <v>0.72</v>
      </c>
      <c r="J53" s="21" t="s">
        <v>996</v>
      </c>
      <c r="K53" s="24">
        <f>SUM(H110:H156)/47</f>
        <v>40.447021276595741</v>
      </c>
    </row>
    <row r="54" spans="1:11">
      <c r="A54" t="s">
        <v>972</v>
      </c>
      <c r="B54" s="15">
        <v>0</v>
      </c>
      <c r="E54" t="s">
        <v>972</v>
      </c>
      <c r="F54" t="s">
        <v>545</v>
      </c>
      <c r="G54" s="12">
        <v>75000</v>
      </c>
      <c r="H54" s="30">
        <v>2.5</v>
      </c>
      <c r="J54" s="21" t="s">
        <v>1019</v>
      </c>
      <c r="K54" s="24">
        <f>SUM(H157:H164)/8</f>
        <v>119.25</v>
      </c>
    </row>
    <row r="55" spans="1:11">
      <c r="A55" t="s">
        <v>972</v>
      </c>
      <c r="B55" s="15">
        <v>0.72</v>
      </c>
      <c r="E55" t="s">
        <v>974</v>
      </c>
      <c r="F55" t="s">
        <v>545</v>
      </c>
      <c r="G55" s="12">
        <v>75000</v>
      </c>
      <c r="H55" s="30">
        <v>4.7</v>
      </c>
    </row>
    <row r="56" spans="1:11">
      <c r="A56" t="s">
        <v>972</v>
      </c>
      <c r="B56" s="15">
        <v>0.78</v>
      </c>
      <c r="E56" t="s">
        <v>972</v>
      </c>
      <c r="F56" t="s">
        <v>545</v>
      </c>
      <c r="G56" s="12">
        <v>75000</v>
      </c>
      <c r="H56" s="30">
        <v>6</v>
      </c>
    </row>
    <row r="57" spans="1:11">
      <c r="A57" t="s">
        <v>972</v>
      </c>
      <c r="B57" s="15">
        <v>0.8</v>
      </c>
      <c r="E57" t="s">
        <v>972</v>
      </c>
      <c r="F57" t="s">
        <v>505</v>
      </c>
      <c r="G57" s="12">
        <v>300000</v>
      </c>
      <c r="H57" s="30">
        <v>0.78</v>
      </c>
    </row>
    <row r="58" spans="1:11">
      <c r="A58" t="s">
        <v>972</v>
      </c>
      <c r="B58" s="15">
        <v>0.9</v>
      </c>
      <c r="E58" t="s">
        <v>972</v>
      </c>
      <c r="F58" t="s">
        <v>505</v>
      </c>
      <c r="G58" s="12">
        <v>300000</v>
      </c>
      <c r="H58" s="30">
        <v>0.8</v>
      </c>
    </row>
    <row r="59" spans="1:11">
      <c r="A59" t="s">
        <v>972</v>
      </c>
      <c r="B59" s="15">
        <v>1</v>
      </c>
      <c r="E59" t="s">
        <v>974</v>
      </c>
      <c r="F59" t="s">
        <v>505</v>
      </c>
      <c r="G59" s="12">
        <v>300000</v>
      </c>
      <c r="H59" s="30">
        <v>1</v>
      </c>
    </row>
    <row r="60" spans="1:11">
      <c r="A60" t="s">
        <v>972</v>
      </c>
      <c r="B60" s="15">
        <v>1</v>
      </c>
      <c r="E60" t="s">
        <v>972</v>
      </c>
      <c r="F60" t="s">
        <v>505</v>
      </c>
      <c r="G60" s="12">
        <v>300000</v>
      </c>
      <c r="H60" s="30">
        <v>1</v>
      </c>
    </row>
    <row r="61" spans="1:11">
      <c r="A61" t="s">
        <v>972</v>
      </c>
      <c r="B61" s="15">
        <v>1</v>
      </c>
      <c r="E61" t="s">
        <v>972</v>
      </c>
      <c r="F61" t="s">
        <v>505</v>
      </c>
      <c r="G61" s="12">
        <v>300000</v>
      </c>
      <c r="H61" s="30">
        <v>1.3</v>
      </c>
    </row>
    <row r="62" spans="1:11">
      <c r="A62" t="s">
        <v>972</v>
      </c>
      <c r="B62" s="15">
        <v>1</v>
      </c>
      <c r="E62" t="s">
        <v>972</v>
      </c>
      <c r="F62" t="s">
        <v>505</v>
      </c>
      <c r="G62" s="12">
        <v>300000</v>
      </c>
      <c r="H62" s="30">
        <v>1.4</v>
      </c>
    </row>
    <row r="63" spans="1:11">
      <c r="A63" t="s">
        <v>972</v>
      </c>
      <c r="B63" s="15">
        <v>1.3</v>
      </c>
      <c r="E63" t="s">
        <v>972</v>
      </c>
      <c r="F63" t="s">
        <v>505</v>
      </c>
      <c r="G63" s="12">
        <v>300000</v>
      </c>
      <c r="H63" s="30">
        <v>1.4</v>
      </c>
    </row>
    <row r="64" spans="1:11">
      <c r="A64" t="s">
        <v>972</v>
      </c>
      <c r="B64" s="15">
        <v>1.4</v>
      </c>
      <c r="E64" t="s">
        <v>972</v>
      </c>
      <c r="F64" t="s">
        <v>505</v>
      </c>
      <c r="G64" s="12">
        <v>300000</v>
      </c>
      <c r="H64" s="30">
        <v>1.5</v>
      </c>
    </row>
    <row r="65" spans="1:8">
      <c r="A65" t="s">
        <v>972</v>
      </c>
      <c r="B65" s="15">
        <v>1.4</v>
      </c>
      <c r="E65" t="s">
        <v>972</v>
      </c>
      <c r="F65" t="s">
        <v>505</v>
      </c>
      <c r="G65" s="12">
        <v>300000</v>
      </c>
      <c r="H65" s="30">
        <v>1.5</v>
      </c>
    </row>
    <row r="66" spans="1:8">
      <c r="A66" t="s">
        <v>972</v>
      </c>
      <c r="B66" s="15">
        <v>1.5</v>
      </c>
      <c r="E66" t="s">
        <v>972</v>
      </c>
      <c r="F66" t="s">
        <v>505</v>
      </c>
      <c r="G66" s="12">
        <v>300000</v>
      </c>
      <c r="H66" s="30">
        <v>1.5</v>
      </c>
    </row>
    <row r="67" spans="1:8">
      <c r="A67" t="s">
        <v>972</v>
      </c>
      <c r="B67" s="15">
        <v>1.5</v>
      </c>
      <c r="E67" t="s">
        <v>954</v>
      </c>
      <c r="F67" t="s">
        <v>505</v>
      </c>
      <c r="G67" s="12">
        <v>300000</v>
      </c>
      <c r="H67" s="30">
        <v>1.8</v>
      </c>
    </row>
    <row r="68" spans="1:8">
      <c r="A68" t="s">
        <v>972</v>
      </c>
      <c r="B68" s="15">
        <v>1.5</v>
      </c>
      <c r="E68" t="s">
        <v>974</v>
      </c>
      <c r="F68" t="s">
        <v>505</v>
      </c>
      <c r="G68" s="12">
        <v>300000</v>
      </c>
      <c r="H68" s="30">
        <v>1.9</v>
      </c>
    </row>
    <row r="69" spans="1:8">
      <c r="A69" t="s">
        <v>972</v>
      </c>
      <c r="B69" s="15">
        <v>2</v>
      </c>
      <c r="E69" t="s">
        <v>972</v>
      </c>
      <c r="F69" t="s">
        <v>505</v>
      </c>
      <c r="G69" s="12">
        <v>300000</v>
      </c>
      <c r="H69" s="30">
        <v>2</v>
      </c>
    </row>
    <row r="70" spans="1:8">
      <c r="A70" t="s">
        <v>972</v>
      </c>
      <c r="B70" s="15">
        <v>2</v>
      </c>
      <c r="E70" t="s">
        <v>972</v>
      </c>
      <c r="F70" t="s">
        <v>505</v>
      </c>
      <c r="G70" s="12">
        <v>300000</v>
      </c>
      <c r="H70" s="30">
        <v>2</v>
      </c>
    </row>
    <row r="71" spans="1:8">
      <c r="A71" t="s">
        <v>972</v>
      </c>
      <c r="B71" s="15">
        <v>2</v>
      </c>
      <c r="E71" t="s">
        <v>972</v>
      </c>
      <c r="F71" t="s">
        <v>505</v>
      </c>
      <c r="G71" s="12">
        <v>300000</v>
      </c>
      <c r="H71" s="30">
        <v>2</v>
      </c>
    </row>
    <row r="72" spans="1:8">
      <c r="A72" t="s">
        <v>972</v>
      </c>
      <c r="B72" s="15">
        <v>2</v>
      </c>
      <c r="E72" t="s">
        <v>972</v>
      </c>
      <c r="F72" t="s">
        <v>505</v>
      </c>
      <c r="G72" s="12">
        <v>300000</v>
      </c>
      <c r="H72" s="30">
        <v>2.2000000000000002</v>
      </c>
    </row>
    <row r="73" spans="1:8">
      <c r="A73" t="s">
        <v>972</v>
      </c>
      <c r="B73" s="15">
        <v>2.2000000000000002</v>
      </c>
      <c r="E73" t="s">
        <v>972</v>
      </c>
      <c r="F73" t="s">
        <v>505</v>
      </c>
      <c r="G73" s="12">
        <v>300000</v>
      </c>
      <c r="H73" s="30">
        <v>2.2999999999999998</v>
      </c>
    </row>
    <row r="74" spans="1:8">
      <c r="A74" t="s">
        <v>972</v>
      </c>
      <c r="B74" s="15">
        <v>2.2999999999999998</v>
      </c>
      <c r="E74" t="s">
        <v>972</v>
      </c>
      <c r="F74" t="s">
        <v>505</v>
      </c>
      <c r="G74" s="12">
        <v>300000</v>
      </c>
      <c r="H74" s="30">
        <v>2.5</v>
      </c>
    </row>
    <row r="75" spans="1:8">
      <c r="A75" t="s">
        <v>972</v>
      </c>
      <c r="B75" s="15">
        <v>2.5</v>
      </c>
      <c r="E75" t="s">
        <v>972</v>
      </c>
      <c r="F75" t="s">
        <v>505</v>
      </c>
      <c r="G75" s="12">
        <v>300000</v>
      </c>
      <c r="H75" s="30">
        <v>2.5</v>
      </c>
    </row>
    <row r="76" spans="1:8">
      <c r="A76" t="s">
        <v>972</v>
      </c>
      <c r="B76" s="15">
        <v>2.5</v>
      </c>
      <c r="E76" t="s">
        <v>972</v>
      </c>
      <c r="F76" t="s">
        <v>505</v>
      </c>
      <c r="G76" s="12">
        <v>300000</v>
      </c>
      <c r="H76" s="30">
        <v>2.5</v>
      </c>
    </row>
    <row r="77" spans="1:8">
      <c r="A77" t="s">
        <v>972</v>
      </c>
      <c r="B77" s="15">
        <v>2.5</v>
      </c>
      <c r="E77" t="s">
        <v>972</v>
      </c>
      <c r="F77" t="s">
        <v>505</v>
      </c>
      <c r="G77" s="12">
        <v>300000</v>
      </c>
      <c r="H77" s="30">
        <v>2.6</v>
      </c>
    </row>
    <row r="78" spans="1:8">
      <c r="A78" t="s">
        <v>972</v>
      </c>
      <c r="B78" s="15">
        <v>2.5</v>
      </c>
      <c r="E78" t="s">
        <v>974</v>
      </c>
      <c r="F78" t="s">
        <v>505</v>
      </c>
      <c r="G78" s="12">
        <v>300000</v>
      </c>
      <c r="H78" s="30">
        <v>2.94</v>
      </c>
    </row>
    <row r="79" spans="1:8">
      <c r="A79" t="s">
        <v>972</v>
      </c>
      <c r="B79" s="15">
        <v>2.6</v>
      </c>
      <c r="E79" t="s">
        <v>974</v>
      </c>
      <c r="F79" t="s">
        <v>505</v>
      </c>
      <c r="G79" s="12">
        <v>300000</v>
      </c>
      <c r="H79" s="30">
        <v>3</v>
      </c>
    </row>
    <row r="80" spans="1:8">
      <c r="A80" t="s">
        <v>972</v>
      </c>
      <c r="B80" s="15">
        <v>3</v>
      </c>
      <c r="E80" t="s">
        <v>974</v>
      </c>
      <c r="F80" t="s">
        <v>505</v>
      </c>
      <c r="G80" s="12">
        <v>300000</v>
      </c>
      <c r="H80" s="30">
        <v>3</v>
      </c>
    </row>
    <row r="81" spans="1:8">
      <c r="A81" t="s">
        <v>972</v>
      </c>
      <c r="B81" s="15">
        <v>3</v>
      </c>
      <c r="E81" t="s">
        <v>973</v>
      </c>
      <c r="F81" t="s">
        <v>505</v>
      </c>
      <c r="G81" s="12">
        <v>300000</v>
      </c>
      <c r="H81" s="30">
        <v>3</v>
      </c>
    </row>
    <row r="82" spans="1:8">
      <c r="A82" t="s">
        <v>972</v>
      </c>
      <c r="B82" s="15">
        <v>3.4</v>
      </c>
      <c r="E82" t="s">
        <v>972</v>
      </c>
      <c r="F82" t="s">
        <v>505</v>
      </c>
      <c r="G82" s="12">
        <v>300000</v>
      </c>
      <c r="H82" s="30">
        <v>3</v>
      </c>
    </row>
    <row r="83" spans="1:8">
      <c r="A83" t="s">
        <v>972</v>
      </c>
      <c r="B83" s="15">
        <v>3.5</v>
      </c>
      <c r="E83" t="s">
        <v>972</v>
      </c>
      <c r="F83" t="s">
        <v>505</v>
      </c>
      <c r="G83" s="12">
        <v>300000</v>
      </c>
      <c r="H83" s="30">
        <v>3.4</v>
      </c>
    </row>
    <row r="84" spans="1:8">
      <c r="A84" t="s">
        <v>972</v>
      </c>
      <c r="B84" s="15">
        <v>4</v>
      </c>
      <c r="E84" t="s">
        <v>954</v>
      </c>
      <c r="F84" t="s">
        <v>505</v>
      </c>
      <c r="G84" s="12">
        <v>300000</v>
      </c>
      <c r="H84" s="30">
        <v>3.4</v>
      </c>
    </row>
    <row r="85" spans="1:8">
      <c r="A85" t="s">
        <v>972</v>
      </c>
      <c r="B85" s="15">
        <v>4</v>
      </c>
      <c r="E85" t="s">
        <v>974</v>
      </c>
      <c r="F85" t="s">
        <v>505</v>
      </c>
      <c r="G85" s="12">
        <v>300000</v>
      </c>
      <c r="H85" s="30">
        <v>3.5</v>
      </c>
    </row>
    <row r="86" spans="1:8">
      <c r="A86" t="s">
        <v>972</v>
      </c>
      <c r="B86" s="15">
        <v>4</v>
      </c>
      <c r="E86" t="s">
        <v>974</v>
      </c>
      <c r="F86" t="s">
        <v>505</v>
      </c>
      <c r="G86" s="12">
        <v>300000</v>
      </c>
      <c r="H86" s="30">
        <v>3.5</v>
      </c>
    </row>
    <row r="87" spans="1:8">
      <c r="A87" t="s">
        <v>972</v>
      </c>
      <c r="B87" s="15">
        <v>5</v>
      </c>
      <c r="E87" t="s">
        <v>972</v>
      </c>
      <c r="F87" t="s">
        <v>505</v>
      </c>
      <c r="G87" s="12">
        <v>300000</v>
      </c>
      <c r="H87" s="30">
        <v>3.5</v>
      </c>
    </row>
    <row r="88" spans="1:8">
      <c r="A88" t="s">
        <v>972</v>
      </c>
      <c r="B88" s="15">
        <v>5</v>
      </c>
      <c r="E88" t="s">
        <v>972</v>
      </c>
      <c r="F88" t="s">
        <v>505</v>
      </c>
      <c r="G88" s="12">
        <v>300000</v>
      </c>
      <c r="H88" s="30">
        <v>4</v>
      </c>
    </row>
    <row r="89" spans="1:8">
      <c r="A89" t="s">
        <v>972</v>
      </c>
      <c r="B89" s="15">
        <v>5</v>
      </c>
      <c r="E89" t="s">
        <v>972</v>
      </c>
      <c r="F89" t="s">
        <v>505</v>
      </c>
      <c r="G89" s="12">
        <v>300000</v>
      </c>
      <c r="H89" s="30">
        <v>4</v>
      </c>
    </row>
    <row r="90" spans="1:8">
      <c r="A90" t="s">
        <v>972</v>
      </c>
      <c r="B90" s="15">
        <v>6</v>
      </c>
      <c r="E90" t="s">
        <v>972</v>
      </c>
      <c r="F90" t="s">
        <v>505</v>
      </c>
      <c r="G90" s="12">
        <v>300000</v>
      </c>
      <c r="H90" s="30">
        <v>4</v>
      </c>
    </row>
    <row r="91" spans="1:8">
      <c r="A91" t="s">
        <v>972</v>
      </c>
      <c r="B91" s="15">
        <v>6</v>
      </c>
      <c r="E91" t="s">
        <v>974</v>
      </c>
      <c r="F91" t="s">
        <v>505</v>
      </c>
      <c r="G91" s="12">
        <v>300000</v>
      </c>
      <c r="H91" s="30">
        <v>5</v>
      </c>
    </row>
    <row r="92" spans="1:8">
      <c r="A92" t="s">
        <v>972</v>
      </c>
      <c r="B92" s="15">
        <v>6</v>
      </c>
      <c r="E92" t="s">
        <v>972</v>
      </c>
      <c r="F92" t="s">
        <v>505</v>
      </c>
      <c r="G92" s="12">
        <v>300000</v>
      </c>
      <c r="H92" s="30">
        <v>5</v>
      </c>
    </row>
    <row r="93" spans="1:8">
      <c r="A93" t="s">
        <v>972</v>
      </c>
      <c r="B93" s="15">
        <v>6.9</v>
      </c>
      <c r="E93" t="s">
        <v>972</v>
      </c>
      <c r="F93" t="s">
        <v>505</v>
      </c>
      <c r="G93" s="12">
        <v>300000</v>
      </c>
      <c r="H93" s="30">
        <v>5</v>
      </c>
    </row>
    <row r="94" spans="1:8">
      <c r="A94" t="s">
        <v>972</v>
      </c>
      <c r="B94" s="15">
        <v>7</v>
      </c>
      <c r="E94" t="s">
        <v>974</v>
      </c>
      <c r="F94" t="s">
        <v>505</v>
      </c>
      <c r="G94" s="12">
        <v>300000</v>
      </c>
      <c r="H94" s="30">
        <v>5.49</v>
      </c>
    </row>
    <row r="95" spans="1:8">
      <c r="A95" t="s">
        <v>972</v>
      </c>
      <c r="B95" s="15">
        <v>8</v>
      </c>
      <c r="E95" t="s">
        <v>972</v>
      </c>
      <c r="F95" t="s">
        <v>505</v>
      </c>
      <c r="G95" s="12">
        <v>300000</v>
      </c>
      <c r="H95" s="30">
        <v>6</v>
      </c>
    </row>
    <row r="96" spans="1:8">
      <c r="A96" t="s">
        <v>972</v>
      </c>
      <c r="B96" s="15">
        <v>9</v>
      </c>
      <c r="E96" t="s">
        <v>972</v>
      </c>
      <c r="F96" t="s">
        <v>505</v>
      </c>
      <c r="G96" s="12">
        <v>300000</v>
      </c>
      <c r="H96" s="30">
        <v>6</v>
      </c>
    </row>
    <row r="97" spans="1:8">
      <c r="A97" t="s">
        <v>972</v>
      </c>
      <c r="B97" s="15">
        <v>9</v>
      </c>
      <c r="E97" t="s">
        <v>974</v>
      </c>
      <c r="F97" t="s">
        <v>505</v>
      </c>
      <c r="G97" s="12">
        <v>300000</v>
      </c>
      <c r="H97" s="30">
        <v>6.1</v>
      </c>
    </row>
    <row r="98" spans="1:8">
      <c r="A98" t="s">
        <v>972</v>
      </c>
      <c r="B98" s="15">
        <v>13</v>
      </c>
      <c r="E98" t="s">
        <v>974</v>
      </c>
      <c r="F98" t="s">
        <v>505</v>
      </c>
      <c r="G98" s="12">
        <v>300000</v>
      </c>
      <c r="H98" s="30">
        <v>6.3</v>
      </c>
    </row>
    <row r="99" spans="1:8">
      <c r="A99" t="s">
        <v>972</v>
      </c>
      <c r="B99" s="15">
        <v>14</v>
      </c>
      <c r="E99" t="s">
        <v>974</v>
      </c>
      <c r="F99" t="s">
        <v>505</v>
      </c>
      <c r="G99" s="12">
        <v>300000</v>
      </c>
      <c r="H99" s="30">
        <v>13</v>
      </c>
    </row>
    <row r="100" spans="1:8">
      <c r="A100" t="s">
        <v>972</v>
      </c>
      <c r="B100" s="15">
        <v>15.2</v>
      </c>
      <c r="E100" t="s">
        <v>972</v>
      </c>
      <c r="F100" t="s">
        <v>505</v>
      </c>
      <c r="G100" s="12">
        <v>300000</v>
      </c>
      <c r="H100" s="30">
        <v>19</v>
      </c>
    </row>
    <row r="101" spans="1:8">
      <c r="A101" t="s">
        <v>972</v>
      </c>
      <c r="B101" s="15">
        <v>17</v>
      </c>
      <c r="E101" t="s">
        <v>972</v>
      </c>
      <c r="F101" t="s">
        <v>509</v>
      </c>
      <c r="G101" s="12">
        <v>750000</v>
      </c>
      <c r="H101" s="30">
        <v>3</v>
      </c>
    </row>
    <row r="102" spans="1:8">
      <c r="A102" t="s">
        <v>972</v>
      </c>
      <c r="B102" s="15">
        <v>17.899999999999999</v>
      </c>
      <c r="E102" t="s">
        <v>972</v>
      </c>
      <c r="F102" t="s">
        <v>509</v>
      </c>
      <c r="G102" s="12">
        <v>750000</v>
      </c>
      <c r="H102" s="30">
        <v>5</v>
      </c>
    </row>
    <row r="103" spans="1:8">
      <c r="A103" t="s">
        <v>972</v>
      </c>
      <c r="B103" s="15">
        <v>19</v>
      </c>
      <c r="E103" t="s">
        <v>974</v>
      </c>
      <c r="F103" t="s">
        <v>509</v>
      </c>
      <c r="G103" s="12">
        <v>750000</v>
      </c>
      <c r="H103" s="30">
        <v>5.5</v>
      </c>
    </row>
    <row r="104" spans="1:8">
      <c r="A104" t="s">
        <v>972</v>
      </c>
      <c r="B104" s="15">
        <v>22.5</v>
      </c>
      <c r="E104" t="s">
        <v>974</v>
      </c>
      <c r="F104" t="s">
        <v>509</v>
      </c>
      <c r="G104" s="12">
        <v>750000</v>
      </c>
      <c r="H104" s="30">
        <v>5.5</v>
      </c>
    </row>
    <row r="105" spans="1:8">
      <c r="A105" t="s">
        <v>972</v>
      </c>
      <c r="B105" s="15">
        <v>23</v>
      </c>
      <c r="E105" t="s">
        <v>972</v>
      </c>
      <c r="F105" t="s">
        <v>509</v>
      </c>
      <c r="G105" s="12">
        <v>750000</v>
      </c>
      <c r="H105" s="30">
        <v>6.9</v>
      </c>
    </row>
    <row r="106" spans="1:8">
      <c r="A106" t="s">
        <v>972</v>
      </c>
      <c r="B106" s="15">
        <v>23.8</v>
      </c>
      <c r="E106" t="s">
        <v>974</v>
      </c>
      <c r="F106" t="s">
        <v>509</v>
      </c>
      <c r="G106" s="12">
        <v>750000</v>
      </c>
      <c r="H106" s="30">
        <v>7</v>
      </c>
    </row>
    <row r="107" spans="1:8">
      <c r="A107" t="s">
        <v>972</v>
      </c>
      <c r="B107" s="15">
        <v>24.68</v>
      </c>
      <c r="E107" t="s">
        <v>972</v>
      </c>
      <c r="F107" t="s">
        <v>509</v>
      </c>
      <c r="G107" s="12">
        <v>750000</v>
      </c>
      <c r="H107" s="30">
        <v>8</v>
      </c>
    </row>
    <row r="108" spans="1:8">
      <c r="A108" t="s">
        <v>972</v>
      </c>
      <c r="B108" s="15">
        <v>28.6</v>
      </c>
      <c r="E108" t="s">
        <v>972</v>
      </c>
      <c r="F108" t="s">
        <v>509</v>
      </c>
      <c r="G108" s="12">
        <v>750000</v>
      </c>
      <c r="H108" s="30">
        <v>14</v>
      </c>
    </row>
    <row r="109" spans="1:8">
      <c r="A109" t="s">
        <v>972</v>
      </c>
      <c r="B109" s="15">
        <v>30</v>
      </c>
      <c r="E109" t="s">
        <v>974</v>
      </c>
      <c r="F109" t="s">
        <v>509</v>
      </c>
      <c r="G109" s="12">
        <v>750000</v>
      </c>
      <c r="H109" s="30">
        <v>15.5</v>
      </c>
    </row>
    <row r="110" spans="1:8">
      <c r="A110" t="s">
        <v>972</v>
      </c>
      <c r="B110" s="15">
        <v>31</v>
      </c>
      <c r="E110" t="s">
        <v>972</v>
      </c>
      <c r="F110" t="s">
        <v>496</v>
      </c>
      <c r="G110" s="12">
        <v>5000000</v>
      </c>
      <c r="H110" s="30">
        <v>7</v>
      </c>
    </row>
    <row r="111" spans="1:8">
      <c r="A111" t="s">
        <v>972</v>
      </c>
      <c r="B111" s="15">
        <v>31</v>
      </c>
      <c r="E111" t="s">
        <v>973</v>
      </c>
      <c r="F111" t="s">
        <v>496</v>
      </c>
      <c r="G111" s="12">
        <v>5000000</v>
      </c>
      <c r="H111" s="30">
        <v>8.4</v>
      </c>
    </row>
    <row r="112" spans="1:8">
      <c r="A112" t="s">
        <v>972</v>
      </c>
      <c r="B112" s="15">
        <v>32.9</v>
      </c>
      <c r="E112" t="s">
        <v>974</v>
      </c>
      <c r="F112" t="s">
        <v>496</v>
      </c>
      <c r="G112" s="12">
        <v>5000000</v>
      </c>
      <c r="H112" s="30">
        <v>8.8000000000000007</v>
      </c>
    </row>
    <row r="113" spans="1:8">
      <c r="A113" t="s">
        <v>972</v>
      </c>
      <c r="B113" s="15">
        <v>33</v>
      </c>
      <c r="E113" t="s">
        <v>972</v>
      </c>
      <c r="F113" t="s">
        <v>496</v>
      </c>
      <c r="G113" s="12">
        <v>5000000</v>
      </c>
      <c r="H113" s="30">
        <v>9</v>
      </c>
    </row>
    <row r="114" spans="1:8">
      <c r="A114" t="s">
        <v>972</v>
      </c>
      <c r="B114" s="15">
        <v>35</v>
      </c>
      <c r="E114" t="s">
        <v>972</v>
      </c>
      <c r="F114" t="s">
        <v>496</v>
      </c>
      <c r="G114" s="12">
        <v>5000000</v>
      </c>
      <c r="H114" s="30">
        <v>9</v>
      </c>
    </row>
    <row r="115" spans="1:8">
      <c r="A115" t="s">
        <v>972</v>
      </c>
      <c r="B115" s="15">
        <v>35</v>
      </c>
      <c r="E115" t="s">
        <v>974</v>
      </c>
      <c r="F115" t="s">
        <v>496</v>
      </c>
      <c r="G115" s="12">
        <v>5000000</v>
      </c>
      <c r="H115" s="30">
        <v>9.6999999999999993</v>
      </c>
    </row>
    <row r="116" spans="1:8">
      <c r="A116" t="s">
        <v>972</v>
      </c>
      <c r="B116" s="15">
        <v>41</v>
      </c>
      <c r="E116" t="s">
        <v>974</v>
      </c>
      <c r="F116" t="s">
        <v>496</v>
      </c>
      <c r="G116" s="12">
        <v>5000000</v>
      </c>
      <c r="H116" s="30">
        <v>10.8</v>
      </c>
    </row>
    <row r="117" spans="1:8">
      <c r="A117" t="s">
        <v>972</v>
      </c>
      <c r="B117" s="15">
        <v>41.25</v>
      </c>
      <c r="E117" t="s">
        <v>972</v>
      </c>
      <c r="F117" t="s">
        <v>496</v>
      </c>
      <c r="G117" s="12">
        <v>5000000</v>
      </c>
      <c r="H117" s="30">
        <v>13</v>
      </c>
    </row>
    <row r="118" spans="1:8">
      <c r="A118" t="s">
        <v>972</v>
      </c>
      <c r="B118" s="15">
        <v>55</v>
      </c>
      <c r="E118" t="s">
        <v>972</v>
      </c>
      <c r="F118" t="s">
        <v>496</v>
      </c>
      <c r="G118" s="12">
        <v>5000000</v>
      </c>
      <c r="H118" s="30">
        <v>15.2</v>
      </c>
    </row>
    <row r="119" spans="1:8">
      <c r="A119" t="s">
        <v>972</v>
      </c>
      <c r="B119" s="15">
        <v>58</v>
      </c>
      <c r="E119" t="s">
        <v>974</v>
      </c>
      <c r="F119" t="s">
        <v>496</v>
      </c>
      <c r="G119" s="12">
        <v>5000000</v>
      </c>
      <c r="H119" s="30">
        <v>16</v>
      </c>
    </row>
    <row r="120" spans="1:8">
      <c r="A120" t="s">
        <v>972</v>
      </c>
      <c r="B120" s="15">
        <v>60</v>
      </c>
      <c r="E120" t="s">
        <v>972</v>
      </c>
      <c r="F120" t="s">
        <v>496</v>
      </c>
      <c r="G120" s="12">
        <v>5000000</v>
      </c>
      <c r="H120" s="30">
        <v>17</v>
      </c>
    </row>
    <row r="121" spans="1:8">
      <c r="A121" t="s">
        <v>972</v>
      </c>
      <c r="B121" s="15">
        <v>62</v>
      </c>
      <c r="E121" t="s">
        <v>972</v>
      </c>
      <c r="F121" t="s">
        <v>496</v>
      </c>
      <c r="G121" s="12">
        <v>5000000</v>
      </c>
      <c r="H121" s="30">
        <v>17.899999999999999</v>
      </c>
    </row>
    <row r="122" spans="1:8">
      <c r="A122" t="s">
        <v>972</v>
      </c>
      <c r="B122" s="15">
        <v>63.19</v>
      </c>
      <c r="E122" t="s">
        <v>974</v>
      </c>
      <c r="F122" t="s">
        <v>496</v>
      </c>
      <c r="G122" s="12">
        <v>5000000</v>
      </c>
      <c r="H122" s="30">
        <v>20</v>
      </c>
    </row>
    <row r="123" spans="1:8">
      <c r="A123" t="s">
        <v>972</v>
      </c>
      <c r="B123" s="15">
        <v>65</v>
      </c>
      <c r="E123" t="s">
        <v>972</v>
      </c>
      <c r="F123" t="s">
        <v>496</v>
      </c>
      <c r="G123" s="12">
        <v>5000000</v>
      </c>
      <c r="H123" s="30">
        <v>22.5</v>
      </c>
    </row>
    <row r="124" spans="1:8">
      <c r="A124" t="s">
        <v>972</v>
      </c>
      <c r="B124" s="15">
        <v>65</v>
      </c>
      <c r="E124" t="s">
        <v>972</v>
      </c>
      <c r="F124" t="s">
        <v>496</v>
      </c>
      <c r="G124" s="12">
        <v>5000000</v>
      </c>
      <c r="H124" s="30">
        <v>23</v>
      </c>
    </row>
    <row r="125" spans="1:8">
      <c r="A125" t="s">
        <v>972</v>
      </c>
      <c r="B125" s="15">
        <v>80</v>
      </c>
      <c r="E125" t="s">
        <v>972</v>
      </c>
      <c r="F125" t="s">
        <v>496</v>
      </c>
      <c r="G125" s="12">
        <v>5000000</v>
      </c>
      <c r="H125" s="30">
        <v>23.8</v>
      </c>
    </row>
    <row r="126" spans="1:8">
      <c r="A126" t="s">
        <v>972</v>
      </c>
      <c r="B126" s="15">
        <v>120</v>
      </c>
      <c r="E126" t="s">
        <v>972</v>
      </c>
      <c r="F126" t="s">
        <v>496</v>
      </c>
      <c r="G126" s="12">
        <v>5000000</v>
      </c>
      <c r="H126" s="30">
        <v>24.68</v>
      </c>
    </row>
    <row r="127" spans="1:8">
      <c r="A127" t="s">
        <v>972</v>
      </c>
      <c r="B127" s="15">
        <v>124</v>
      </c>
      <c r="E127" t="s">
        <v>972</v>
      </c>
      <c r="F127" t="s">
        <v>496</v>
      </c>
      <c r="G127" s="12">
        <v>5000000</v>
      </c>
      <c r="H127" s="30">
        <v>28.6</v>
      </c>
    </row>
    <row r="128" spans="1:8">
      <c r="A128" t="s">
        <v>972</v>
      </c>
      <c r="B128" s="15">
        <v>150</v>
      </c>
      <c r="E128" t="s">
        <v>972</v>
      </c>
      <c r="F128" t="s">
        <v>496</v>
      </c>
      <c r="G128" s="12">
        <v>5000000</v>
      </c>
      <c r="H128" s="30">
        <v>30</v>
      </c>
    </row>
    <row r="129" spans="1:8">
      <c r="A129" t="s">
        <v>954</v>
      </c>
      <c r="B129" s="15">
        <v>1.8</v>
      </c>
      <c r="E129" t="s">
        <v>972</v>
      </c>
      <c r="F129" t="s">
        <v>496</v>
      </c>
      <c r="G129" s="12">
        <v>5000000</v>
      </c>
      <c r="H129" s="30">
        <v>31</v>
      </c>
    </row>
    <row r="130" spans="1:8">
      <c r="A130" t="s">
        <v>954</v>
      </c>
      <c r="B130" s="15">
        <v>3.4</v>
      </c>
      <c r="E130" t="s">
        <v>972</v>
      </c>
      <c r="F130" t="s">
        <v>496</v>
      </c>
      <c r="G130" s="12">
        <v>5000000</v>
      </c>
      <c r="H130" s="30">
        <v>31</v>
      </c>
    </row>
    <row r="131" spans="1:8">
      <c r="A131" t="s">
        <v>954</v>
      </c>
      <c r="B131" s="15">
        <v>46</v>
      </c>
      <c r="E131" t="s">
        <v>974</v>
      </c>
      <c r="F131" t="s">
        <v>496</v>
      </c>
      <c r="G131" s="12">
        <v>5000000</v>
      </c>
      <c r="H131" s="30">
        <v>32</v>
      </c>
    </row>
    <row r="132" spans="1:8">
      <c r="A132" t="s">
        <v>954</v>
      </c>
      <c r="B132" s="15">
        <v>118</v>
      </c>
      <c r="E132" t="s">
        <v>972</v>
      </c>
      <c r="F132" t="s">
        <v>496</v>
      </c>
      <c r="G132" s="12">
        <v>5000000</v>
      </c>
      <c r="H132" s="30">
        <v>32.9</v>
      </c>
    </row>
    <row r="133" spans="1:8">
      <c r="A133" t="s">
        <v>954</v>
      </c>
      <c r="B133" s="15">
        <v>180</v>
      </c>
      <c r="E133" t="s">
        <v>972</v>
      </c>
      <c r="F133" t="s">
        <v>496</v>
      </c>
      <c r="G133" s="12">
        <v>5000000</v>
      </c>
      <c r="H133" s="30">
        <v>33</v>
      </c>
    </row>
    <row r="134" spans="1:8">
      <c r="A134" t="s">
        <v>954</v>
      </c>
      <c r="B134" s="15">
        <v>300</v>
      </c>
      <c r="E134" t="s">
        <v>972</v>
      </c>
      <c r="F134" t="s">
        <v>496</v>
      </c>
      <c r="G134" s="12">
        <v>5000000</v>
      </c>
      <c r="H134" s="30">
        <v>35</v>
      </c>
    </row>
    <row r="135" spans="1:8">
      <c r="E135" t="s">
        <v>972</v>
      </c>
      <c r="F135" t="s">
        <v>496</v>
      </c>
      <c r="G135" s="12">
        <v>5000000</v>
      </c>
      <c r="H135" s="30">
        <v>35</v>
      </c>
    </row>
    <row r="136" spans="1:8">
      <c r="B136" s="15">
        <f>SUM(B4:B134)</f>
        <v>3118.8400000000006</v>
      </c>
      <c r="E136" s="31" t="s">
        <v>974</v>
      </c>
      <c r="F136" s="31" t="s">
        <v>496</v>
      </c>
      <c r="G136" s="32">
        <v>5000000</v>
      </c>
      <c r="H136" s="33">
        <v>39.53</v>
      </c>
    </row>
    <row r="137" spans="1:8">
      <c r="E137" t="s">
        <v>972</v>
      </c>
      <c r="F137" t="s">
        <v>496</v>
      </c>
      <c r="G137" s="12">
        <v>5000000</v>
      </c>
      <c r="H137" s="30">
        <v>41</v>
      </c>
    </row>
    <row r="138" spans="1:8">
      <c r="E138" t="s">
        <v>972</v>
      </c>
      <c r="F138" t="s">
        <v>496</v>
      </c>
      <c r="G138" s="12">
        <v>5000000</v>
      </c>
      <c r="H138" s="30">
        <v>41.25</v>
      </c>
    </row>
    <row r="139" spans="1:8">
      <c r="E139" s="31" t="s">
        <v>974</v>
      </c>
      <c r="F139" s="31" t="s">
        <v>496</v>
      </c>
      <c r="G139" s="32">
        <v>5000000</v>
      </c>
      <c r="H139" s="33">
        <v>44.76</v>
      </c>
    </row>
    <row r="140" spans="1:8">
      <c r="E140" t="s">
        <v>974</v>
      </c>
      <c r="F140" t="s">
        <v>496</v>
      </c>
      <c r="G140" s="12">
        <v>5000000</v>
      </c>
      <c r="H140" s="30">
        <v>45</v>
      </c>
    </row>
    <row r="141" spans="1:8">
      <c r="E141" t="s">
        <v>974</v>
      </c>
      <c r="F141" t="s">
        <v>496</v>
      </c>
      <c r="G141" s="12">
        <v>5000000</v>
      </c>
      <c r="H141" s="30">
        <v>45</v>
      </c>
    </row>
    <row r="142" spans="1:8">
      <c r="E142" t="s">
        <v>973</v>
      </c>
      <c r="F142" t="s">
        <v>496</v>
      </c>
      <c r="G142" s="12">
        <v>5000000</v>
      </c>
      <c r="H142" s="30">
        <v>45</v>
      </c>
    </row>
    <row r="143" spans="1:8">
      <c r="E143" t="s">
        <v>973</v>
      </c>
      <c r="F143" t="s">
        <v>496</v>
      </c>
      <c r="G143" s="12">
        <v>5000000</v>
      </c>
      <c r="H143" s="30">
        <v>45</v>
      </c>
    </row>
    <row r="144" spans="1:8">
      <c r="E144" t="s">
        <v>954</v>
      </c>
      <c r="F144" t="s">
        <v>496</v>
      </c>
      <c r="G144" s="12">
        <v>5000000</v>
      </c>
      <c r="H144" s="30">
        <v>46</v>
      </c>
    </row>
    <row r="145" spans="5:8">
      <c r="E145" t="s">
        <v>973</v>
      </c>
      <c r="F145" t="s">
        <v>496</v>
      </c>
      <c r="G145" s="12">
        <v>5000000</v>
      </c>
      <c r="H145" s="30">
        <v>47</v>
      </c>
    </row>
    <row r="146" spans="5:8">
      <c r="E146" t="s">
        <v>972</v>
      </c>
      <c r="F146" t="s">
        <v>496</v>
      </c>
      <c r="G146" s="12">
        <v>5000000</v>
      </c>
      <c r="H146" s="30">
        <v>55</v>
      </c>
    </row>
    <row r="147" spans="5:8">
      <c r="E147" t="s">
        <v>972</v>
      </c>
      <c r="F147" t="s">
        <v>496</v>
      </c>
      <c r="G147" s="12">
        <v>5000000</v>
      </c>
      <c r="H147" s="30">
        <v>58</v>
      </c>
    </row>
    <row r="148" spans="5:8">
      <c r="E148" t="s">
        <v>974</v>
      </c>
      <c r="F148" t="s">
        <v>496</v>
      </c>
      <c r="G148" s="12">
        <v>5000000</v>
      </c>
      <c r="H148" s="30">
        <v>60</v>
      </c>
    </row>
    <row r="149" spans="5:8">
      <c r="E149" t="s">
        <v>974</v>
      </c>
      <c r="F149" t="s">
        <v>496</v>
      </c>
      <c r="G149" s="12">
        <v>5000000</v>
      </c>
      <c r="H149" s="30">
        <v>60</v>
      </c>
    </row>
    <row r="150" spans="5:8">
      <c r="E150" t="s">
        <v>972</v>
      </c>
      <c r="F150" t="s">
        <v>496</v>
      </c>
      <c r="G150" s="12">
        <v>5000000</v>
      </c>
      <c r="H150" s="30">
        <v>60</v>
      </c>
    </row>
    <row r="151" spans="5:8">
      <c r="E151" t="s">
        <v>972</v>
      </c>
      <c r="F151" t="s">
        <v>496</v>
      </c>
      <c r="G151" s="12">
        <v>5000000</v>
      </c>
      <c r="H151" s="30">
        <v>63.19</v>
      </c>
    </row>
    <row r="152" spans="5:8">
      <c r="E152" t="s">
        <v>974</v>
      </c>
      <c r="F152" t="s">
        <v>496</v>
      </c>
      <c r="G152" s="12">
        <v>5000000</v>
      </c>
      <c r="H152" s="30">
        <v>65</v>
      </c>
    </row>
    <row r="153" spans="5:8">
      <c r="E153" t="s">
        <v>972</v>
      </c>
      <c r="F153" t="s">
        <v>496</v>
      </c>
      <c r="G153" s="12">
        <v>5000000</v>
      </c>
      <c r="H153" s="30">
        <v>65</v>
      </c>
    </row>
    <row r="154" spans="5:8">
      <c r="E154" t="s">
        <v>972</v>
      </c>
      <c r="F154" t="s">
        <v>496</v>
      </c>
      <c r="G154" s="12">
        <v>5000000</v>
      </c>
      <c r="H154" s="30">
        <v>65</v>
      </c>
    </row>
    <row r="155" spans="5:8">
      <c r="E155" t="s">
        <v>973</v>
      </c>
      <c r="F155" t="s">
        <v>496</v>
      </c>
      <c r="G155" s="12">
        <v>5000000</v>
      </c>
      <c r="H155" s="30">
        <v>66</v>
      </c>
    </row>
    <row r="156" spans="5:8">
      <c r="E156" t="s">
        <v>954</v>
      </c>
      <c r="F156" t="s">
        <v>496</v>
      </c>
      <c r="G156" s="12">
        <v>5000000</v>
      </c>
      <c r="H156" s="30">
        <v>300</v>
      </c>
    </row>
    <row r="157" spans="5:8">
      <c r="E157" t="s">
        <v>972</v>
      </c>
      <c r="F157" t="s">
        <v>486</v>
      </c>
      <c r="G157" s="12">
        <v>10000000</v>
      </c>
      <c r="H157" s="30">
        <v>62</v>
      </c>
    </row>
    <row r="158" spans="5:8">
      <c r="E158" t="s">
        <v>972</v>
      </c>
      <c r="F158" t="s">
        <v>486</v>
      </c>
      <c r="G158" s="12">
        <v>10000000</v>
      </c>
      <c r="H158" s="30">
        <v>80</v>
      </c>
    </row>
    <row r="159" spans="5:8">
      <c r="E159" t="s">
        <v>954</v>
      </c>
      <c r="F159" t="s">
        <v>486</v>
      </c>
      <c r="G159" s="12">
        <v>10000000</v>
      </c>
      <c r="H159" s="30">
        <v>118</v>
      </c>
    </row>
    <row r="160" spans="5:8">
      <c r="E160" t="s">
        <v>974</v>
      </c>
      <c r="F160" t="s">
        <v>486</v>
      </c>
      <c r="G160" s="12">
        <v>10000000</v>
      </c>
      <c r="H160" s="30">
        <v>120</v>
      </c>
    </row>
    <row r="161" spans="4:8">
      <c r="E161" t="s">
        <v>972</v>
      </c>
      <c r="F161" t="s">
        <v>486</v>
      </c>
      <c r="G161" s="12">
        <v>10000000</v>
      </c>
      <c r="H161" s="30">
        <v>120</v>
      </c>
    </row>
    <row r="162" spans="4:8">
      <c r="E162" t="s">
        <v>972</v>
      </c>
      <c r="F162" t="s">
        <v>486</v>
      </c>
      <c r="G162" s="12">
        <v>10000000</v>
      </c>
      <c r="H162" s="30">
        <v>124</v>
      </c>
    </row>
    <row r="163" spans="4:8">
      <c r="E163" t="s">
        <v>972</v>
      </c>
      <c r="F163" t="s">
        <v>486</v>
      </c>
      <c r="G163" s="12">
        <v>10000000</v>
      </c>
      <c r="H163" s="30">
        <v>150</v>
      </c>
    </row>
    <row r="164" spans="4:8">
      <c r="E164" t="s">
        <v>954</v>
      </c>
      <c r="F164" t="s">
        <v>486</v>
      </c>
      <c r="G164" s="12">
        <v>10000000</v>
      </c>
      <c r="H164" s="30">
        <v>180</v>
      </c>
    </row>
    <row r="165" spans="4:8">
      <c r="H165" s="30">
        <f>SUM(H34:H164)</f>
        <v>3118.84</v>
      </c>
    </row>
    <row r="167" spans="4:8">
      <c r="D167" t="s">
        <v>1017</v>
      </c>
    </row>
  </sheetData>
  <sortState ref="E34:H164">
    <sortCondition ref="G34:G164"/>
    <sortCondition ref="H34:H164"/>
    <sortCondition ref="E34:E164"/>
  </sortState>
  <pageMargins left="0.7" right="0.7" top="0.75" bottom="0.75" header="0.3" footer="0.3"/>
  <pageSetup paperSize="9" orientation="portrait" r:id="rId1"/>
  <ignoredErrors>
    <ignoredError sqref="K48:K54" formulaRange="1"/>
  </ignoredErrors>
  <drawing r:id="rId2"/>
</worksheet>
</file>

<file path=xl/worksheets/sheet40.xml><?xml version="1.0" encoding="utf-8"?>
<worksheet xmlns="http://schemas.openxmlformats.org/spreadsheetml/2006/main" xmlns:r="http://schemas.openxmlformats.org/officeDocument/2006/relationships">
  <dimension ref="A1:Q99"/>
  <sheetViews>
    <sheetView workbookViewId="0"/>
  </sheetViews>
  <sheetFormatPr defaultRowHeight="14.4"/>
  <cols>
    <col min="1" max="1" width="14.44140625" customWidth="1"/>
    <col min="10" max="10" width="4.44140625" customWidth="1"/>
    <col min="11" max="11" width="4.5546875" customWidth="1"/>
    <col min="12" max="12" width="4.44140625" customWidth="1"/>
    <col min="13" max="13" width="30.44140625" customWidth="1"/>
    <col min="14" max="14" width="13.5546875" customWidth="1"/>
    <col min="15" max="15" width="13.109375" customWidth="1"/>
    <col min="16" max="16" width="11.109375" customWidth="1"/>
    <col min="17" max="17" width="11.44140625" customWidth="1"/>
  </cols>
  <sheetData>
    <row r="1" spans="1:14">
      <c r="A1" s="3" t="s">
        <v>1192</v>
      </c>
    </row>
    <row r="3" spans="1:14">
      <c r="B3" t="s">
        <v>1193</v>
      </c>
      <c r="C3" t="s">
        <v>1194</v>
      </c>
      <c r="D3" t="s">
        <v>1195</v>
      </c>
      <c r="E3" t="s">
        <v>1196</v>
      </c>
      <c r="F3" t="s">
        <v>1197</v>
      </c>
      <c r="G3" t="s">
        <v>1198</v>
      </c>
      <c r="H3" t="s">
        <v>1199</v>
      </c>
      <c r="I3" t="s">
        <v>1200</v>
      </c>
      <c r="M3" t="s">
        <v>1183</v>
      </c>
    </row>
    <row r="4" spans="1:14">
      <c r="A4" t="s">
        <v>974</v>
      </c>
      <c r="B4">
        <v>1</v>
      </c>
      <c r="C4">
        <v>1</v>
      </c>
      <c r="D4">
        <v>1</v>
      </c>
      <c r="E4">
        <v>1</v>
      </c>
      <c r="F4">
        <v>1</v>
      </c>
      <c r="G4">
        <v>1</v>
      </c>
      <c r="H4">
        <v>1</v>
      </c>
      <c r="I4">
        <v>0</v>
      </c>
    </row>
    <row r="5" spans="1:14">
      <c r="A5" t="s">
        <v>974</v>
      </c>
      <c r="B5">
        <v>1</v>
      </c>
      <c r="C5">
        <v>0</v>
      </c>
      <c r="D5">
        <v>0</v>
      </c>
      <c r="E5">
        <v>1</v>
      </c>
      <c r="F5">
        <v>0</v>
      </c>
      <c r="G5">
        <v>0</v>
      </c>
      <c r="H5">
        <v>0</v>
      </c>
      <c r="I5">
        <v>0</v>
      </c>
      <c r="M5" t="s">
        <v>1193</v>
      </c>
      <c r="N5">
        <v>96.8</v>
      </c>
    </row>
    <row r="6" spans="1:14">
      <c r="A6" t="s">
        <v>974</v>
      </c>
      <c r="B6">
        <v>1</v>
      </c>
      <c r="C6">
        <v>0</v>
      </c>
      <c r="D6">
        <v>0</v>
      </c>
      <c r="E6">
        <v>0</v>
      </c>
      <c r="F6">
        <v>0</v>
      </c>
      <c r="G6">
        <v>0</v>
      </c>
      <c r="H6">
        <v>0</v>
      </c>
      <c r="I6">
        <v>0</v>
      </c>
      <c r="M6" t="s">
        <v>1195</v>
      </c>
      <c r="N6">
        <v>36.200000000000003</v>
      </c>
    </row>
    <row r="7" spans="1:14">
      <c r="A7" t="s">
        <v>974</v>
      </c>
      <c r="B7">
        <v>1</v>
      </c>
      <c r="C7">
        <v>0</v>
      </c>
      <c r="D7">
        <v>1</v>
      </c>
      <c r="E7">
        <v>0</v>
      </c>
      <c r="F7">
        <v>0</v>
      </c>
      <c r="G7">
        <v>0</v>
      </c>
      <c r="H7">
        <v>0</v>
      </c>
      <c r="I7">
        <v>0</v>
      </c>
      <c r="M7" t="s">
        <v>1196</v>
      </c>
      <c r="N7">
        <v>34</v>
      </c>
    </row>
    <row r="8" spans="1:14">
      <c r="A8" t="s">
        <v>974</v>
      </c>
      <c r="B8">
        <v>1</v>
      </c>
      <c r="C8">
        <v>0</v>
      </c>
      <c r="D8">
        <v>1</v>
      </c>
      <c r="E8">
        <v>0</v>
      </c>
      <c r="F8">
        <v>0</v>
      </c>
      <c r="G8">
        <v>1</v>
      </c>
      <c r="H8">
        <v>1</v>
      </c>
      <c r="I8">
        <v>0</v>
      </c>
      <c r="M8" t="s">
        <v>1197</v>
      </c>
      <c r="N8">
        <v>14.9</v>
      </c>
    </row>
    <row r="9" spans="1:14">
      <c r="A9" t="s">
        <v>974</v>
      </c>
      <c r="B9">
        <v>1</v>
      </c>
      <c r="C9">
        <v>0</v>
      </c>
      <c r="D9">
        <v>0</v>
      </c>
      <c r="E9">
        <v>0</v>
      </c>
      <c r="F9">
        <v>0</v>
      </c>
      <c r="G9">
        <v>0</v>
      </c>
      <c r="H9">
        <v>0</v>
      </c>
      <c r="I9">
        <v>0</v>
      </c>
      <c r="M9" t="s">
        <v>1199</v>
      </c>
      <c r="N9">
        <v>12.8</v>
      </c>
    </row>
    <row r="10" spans="1:14">
      <c r="A10" t="s">
        <v>974</v>
      </c>
      <c r="B10">
        <v>1</v>
      </c>
      <c r="C10">
        <v>0</v>
      </c>
      <c r="D10">
        <v>1</v>
      </c>
      <c r="E10">
        <v>1</v>
      </c>
      <c r="F10">
        <v>0</v>
      </c>
      <c r="G10">
        <v>0</v>
      </c>
      <c r="H10">
        <v>1</v>
      </c>
      <c r="I10">
        <v>0</v>
      </c>
      <c r="M10" t="s">
        <v>1198</v>
      </c>
      <c r="N10">
        <v>8.5</v>
      </c>
    </row>
    <row r="11" spans="1:14">
      <c r="A11" t="s">
        <v>974</v>
      </c>
      <c r="B11">
        <v>1</v>
      </c>
      <c r="C11">
        <v>0</v>
      </c>
      <c r="D11">
        <v>0</v>
      </c>
      <c r="E11">
        <v>0</v>
      </c>
      <c r="F11">
        <v>0</v>
      </c>
      <c r="G11">
        <v>0</v>
      </c>
      <c r="H11">
        <v>0</v>
      </c>
      <c r="I11">
        <v>0</v>
      </c>
      <c r="M11" t="s">
        <v>1194</v>
      </c>
      <c r="N11">
        <v>4.3</v>
      </c>
    </row>
    <row r="12" spans="1:14">
      <c r="A12" t="s">
        <v>974</v>
      </c>
      <c r="B12">
        <v>1</v>
      </c>
      <c r="C12">
        <v>0</v>
      </c>
      <c r="D12">
        <v>1</v>
      </c>
      <c r="E12">
        <v>0</v>
      </c>
      <c r="F12">
        <v>0</v>
      </c>
      <c r="G12">
        <v>0</v>
      </c>
      <c r="H12">
        <v>0</v>
      </c>
      <c r="I12">
        <v>0</v>
      </c>
      <c r="M12" t="s">
        <v>1200</v>
      </c>
      <c r="N12">
        <v>3.2</v>
      </c>
    </row>
    <row r="13" spans="1:14">
      <c r="A13" t="s">
        <v>974</v>
      </c>
      <c r="B13">
        <v>1</v>
      </c>
      <c r="C13">
        <v>0</v>
      </c>
      <c r="D13">
        <v>0</v>
      </c>
      <c r="E13">
        <v>0</v>
      </c>
      <c r="F13">
        <v>0</v>
      </c>
      <c r="G13">
        <v>0</v>
      </c>
      <c r="H13">
        <v>0</v>
      </c>
      <c r="I13">
        <v>1</v>
      </c>
    </row>
    <row r="14" spans="1:14">
      <c r="A14" t="s">
        <v>974</v>
      </c>
      <c r="B14">
        <v>1</v>
      </c>
      <c r="C14">
        <v>0</v>
      </c>
      <c r="D14">
        <v>0</v>
      </c>
      <c r="E14">
        <v>0</v>
      </c>
      <c r="F14">
        <v>0</v>
      </c>
      <c r="G14">
        <v>0</v>
      </c>
      <c r="H14">
        <v>0</v>
      </c>
      <c r="I14">
        <v>0</v>
      </c>
    </row>
    <row r="15" spans="1:14">
      <c r="A15" t="s">
        <v>974</v>
      </c>
      <c r="B15">
        <v>1</v>
      </c>
      <c r="C15">
        <v>0</v>
      </c>
      <c r="D15">
        <v>0</v>
      </c>
      <c r="E15">
        <v>0</v>
      </c>
      <c r="F15">
        <v>0</v>
      </c>
      <c r="G15">
        <v>0</v>
      </c>
      <c r="H15">
        <v>0</v>
      </c>
      <c r="I15">
        <v>0</v>
      </c>
    </row>
    <row r="16" spans="1:14">
      <c r="A16" t="s">
        <v>974</v>
      </c>
      <c r="B16">
        <v>1</v>
      </c>
      <c r="C16">
        <v>0</v>
      </c>
      <c r="D16">
        <v>1</v>
      </c>
      <c r="E16">
        <v>1</v>
      </c>
      <c r="F16">
        <v>0</v>
      </c>
      <c r="G16">
        <v>0</v>
      </c>
      <c r="H16">
        <v>0</v>
      </c>
      <c r="I16">
        <v>0</v>
      </c>
    </row>
    <row r="17" spans="1:17">
      <c r="A17" t="s">
        <v>974</v>
      </c>
      <c r="B17">
        <v>1</v>
      </c>
      <c r="C17">
        <v>0</v>
      </c>
      <c r="D17">
        <v>1</v>
      </c>
      <c r="E17">
        <v>1</v>
      </c>
      <c r="F17">
        <v>0</v>
      </c>
      <c r="G17">
        <v>1</v>
      </c>
      <c r="H17">
        <v>0</v>
      </c>
      <c r="I17">
        <v>0</v>
      </c>
    </row>
    <row r="18" spans="1:17">
      <c r="A18" t="s">
        <v>974</v>
      </c>
      <c r="B18">
        <v>1</v>
      </c>
      <c r="C18">
        <v>0</v>
      </c>
      <c r="D18">
        <v>0</v>
      </c>
      <c r="E18">
        <v>0</v>
      </c>
      <c r="F18">
        <v>0</v>
      </c>
      <c r="G18">
        <v>0</v>
      </c>
      <c r="H18">
        <v>0</v>
      </c>
      <c r="I18">
        <v>1</v>
      </c>
    </row>
    <row r="19" spans="1:17">
      <c r="A19" t="s">
        <v>974</v>
      </c>
      <c r="B19">
        <v>1</v>
      </c>
      <c r="C19">
        <v>0</v>
      </c>
      <c r="D19">
        <v>1</v>
      </c>
      <c r="E19">
        <v>1</v>
      </c>
      <c r="F19">
        <v>1</v>
      </c>
      <c r="G19">
        <v>1</v>
      </c>
      <c r="H19">
        <v>1</v>
      </c>
      <c r="I19">
        <v>0</v>
      </c>
    </row>
    <row r="20" spans="1:17">
      <c r="A20" t="s">
        <v>974</v>
      </c>
      <c r="B20">
        <v>1</v>
      </c>
      <c r="C20">
        <v>0</v>
      </c>
      <c r="D20">
        <v>0</v>
      </c>
      <c r="E20">
        <v>1</v>
      </c>
      <c r="F20">
        <v>0</v>
      </c>
      <c r="G20">
        <v>0</v>
      </c>
      <c r="H20">
        <v>0</v>
      </c>
      <c r="I20">
        <v>0</v>
      </c>
    </row>
    <row r="21" spans="1:17">
      <c r="A21" t="s">
        <v>974</v>
      </c>
      <c r="B21">
        <v>1</v>
      </c>
      <c r="C21">
        <v>0</v>
      </c>
      <c r="D21">
        <v>0</v>
      </c>
      <c r="E21">
        <v>1</v>
      </c>
      <c r="F21">
        <v>0</v>
      </c>
      <c r="G21">
        <v>0</v>
      </c>
      <c r="H21">
        <v>0</v>
      </c>
      <c r="I21">
        <v>0</v>
      </c>
    </row>
    <row r="22" spans="1:17">
      <c r="A22" t="s">
        <v>974</v>
      </c>
      <c r="B22">
        <v>1</v>
      </c>
      <c r="C22">
        <v>0</v>
      </c>
      <c r="D22">
        <v>1</v>
      </c>
      <c r="E22">
        <v>1</v>
      </c>
      <c r="F22">
        <v>0</v>
      </c>
      <c r="G22">
        <v>0</v>
      </c>
      <c r="H22">
        <v>0</v>
      </c>
      <c r="I22">
        <v>0</v>
      </c>
    </row>
    <row r="23" spans="1:17">
      <c r="A23" t="s">
        <v>974</v>
      </c>
      <c r="B23">
        <v>1</v>
      </c>
      <c r="C23">
        <v>0</v>
      </c>
      <c r="D23">
        <v>0</v>
      </c>
      <c r="E23">
        <v>0</v>
      </c>
      <c r="F23">
        <v>0</v>
      </c>
      <c r="G23">
        <v>0</v>
      </c>
      <c r="H23">
        <v>0</v>
      </c>
      <c r="I23">
        <v>0</v>
      </c>
    </row>
    <row r="24" spans="1:17">
      <c r="A24" t="s">
        <v>974</v>
      </c>
      <c r="B24">
        <v>1</v>
      </c>
      <c r="C24">
        <v>0</v>
      </c>
      <c r="D24">
        <v>0</v>
      </c>
      <c r="E24">
        <v>0</v>
      </c>
      <c r="F24">
        <v>0</v>
      </c>
      <c r="G24">
        <v>0</v>
      </c>
      <c r="H24">
        <v>0</v>
      </c>
      <c r="I24">
        <v>0</v>
      </c>
      <c r="M24" t="s">
        <v>1185</v>
      </c>
    </row>
    <row r="25" spans="1:17">
      <c r="A25" t="s">
        <v>974</v>
      </c>
      <c r="B25">
        <v>1</v>
      </c>
      <c r="C25">
        <v>0</v>
      </c>
      <c r="D25">
        <v>0</v>
      </c>
      <c r="E25">
        <v>0</v>
      </c>
      <c r="F25">
        <v>0</v>
      </c>
      <c r="G25">
        <v>0</v>
      </c>
      <c r="H25">
        <v>0</v>
      </c>
      <c r="I25">
        <v>0</v>
      </c>
      <c r="N25" t="s">
        <v>1142</v>
      </c>
      <c r="O25" t="s">
        <v>1186</v>
      </c>
      <c r="P25" t="s">
        <v>1187</v>
      </c>
      <c r="Q25" t="s">
        <v>1101</v>
      </c>
    </row>
    <row r="26" spans="1:17">
      <c r="A26" t="s">
        <v>974</v>
      </c>
      <c r="B26">
        <v>1</v>
      </c>
      <c r="C26">
        <v>0</v>
      </c>
      <c r="D26">
        <v>1</v>
      </c>
      <c r="E26">
        <v>0</v>
      </c>
      <c r="F26">
        <v>0</v>
      </c>
      <c r="G26">
        <v>0</v>
      </c>
      <c r="H26">
        <v>0</v>
      </c>
      <c r="I26">
        <v>0</v>
      </c>
      <c r="M26" t="s">
        <v>1200</v>
      </c>
      <c r="N26" s="44">
        <f>2/28</f>
        <v>7.1428571428571425E-2</v>
      </c>
      <c r="O26" s="44">
        <f>0/6</f>
        <v>0</v>
      </c>
      <c r="P26" s="44">
        <f>1/55</f>
        <v>1.8181818181818181E-2</v>
      </c>
      <c r="Q26" s="44">
        <f>0/5</f>
        <v>0</v>
      </c>
    </row>
    <row r="27" spans="1:17">
      <c r="A27" t="s">
        <v>974</v>
      </c>
      <c r="B27">
        <v>1</v>
      </c>
      <c r="C27">
        <v>0</v>
      </c>
      <c r="D27">
        <v>0</v>
      </c>
      <c r="E27">
        <v>0</v>
      </c>
      <c r="F27">
        <v>0</v>
      </c>
      <c r="G27">
        <v>0</v>
      </c>
      <c r="H27">
        <v>1</v>
      </c>
      <c r="I27">
        <v>0</v>
      </c>
      <c r="M27" t="s">
        <v>1198</v>
      </c>
      <c r="N27" s="44">
        <f>4/28</f>
        <v>0.14285714285714285</v>
      </c>
      <c r="O27" s="44">
        <f>0/6</f>
        <v>0</v>
      </c>
      <c r="P27" s="44">
        <f>4/55</f>
        <v>7.2727272727272724E-2</v>
      </c>
      <c r="Q27" s="44">
        <f>0/5</f>
        <v>0</v>
      </c>
    </row>
    <row r="28" spans="1:17">
      <c r="A28" t="s">
        <v>974</v>
      </c>
      <c r="B28">
        <v>1</v>
      </c>
      <c r="C28">
        <v>0</v>
      </c>
      <c r="D28">
        <v>0</v>
      </c>
      <c r="E28">
        <v>0</v>
      </c>
      <c r="F28">
        <v>0</v>
      </c>
      <c r="G28">
        <v>0</v>
      </c>
      <c r="H28">
        <v>0</v>
      </c>
      <c r="I28">
        <v>0</v>
      </c>
      <c r="M28" t="s">
        <v>1194</v>
      </c>
      <c r="N28" s="44">
        <f>1/28</f>
        <v>3.5714285714285712E-2</v>
      </c>
      <c r="O28" s="44">
        <f>0/6</f>
        <v>0</v>
      </c>
      <c r="P28" s="44">
        <f>1/55</f>
        <v>1.8181818181818181E-2</v>
      </c>
      <c r="Q28" s="44">
        <f>2/5</f>
        <v>0.4</v>
      </c>
    </row>
    <row r="29" spans="1:17">
      <c r="A29" t="s">
        <v>974</v>
      </c>
      <c r="B29">
        <v>1</v>
      </c>
      <c r="C29">
        <v>0</v>
      </c>
      <c r="D29">
        <v>0</v>
      </c>
      <c r="E29">
        <v>0</v>
      </c>
      <c r="F29">
        <v>0</v>
      </c>
      <c r="G29">
        <v>0</v>
      </c>
      <c r="H29">
        <v>0</v>
      </c>
      <c r="I29">
        <v>0</v>
      </c>
      <c r="M29" t="s">
        <v>1197</v>
      </c>
      <c r="N29" s="44">
        <f>3/28</f>
        <v>0.10714285714285714</v>
      </c>
      <c r="O29" s="44">
        <f>2/6</f>
        <v>0.33333333333333331</v>
      </c>
      <c r="P29" s="44">
        <f>9/55</f>
        <v>0.16363636363636364</v>
      </c>
      <c r="Q29" s="44">
        <f>0/5</f>
        <v>0</v>
      </c>
    </row>
    <row r="30" spans="1:17">
      <c r="A30" t="s">
        <v>974</v>
      </c>
      <c r="B30">
        <v>1</v>
      </c>
      <c r="C30">
        <v>0</v>
      </c>
      <c r="D30">
        <v>1</v>
      </c>
      <c r="E30">
        <v>0</v>
      </c>
      <c r="F30">
        <v>1</v>
      </c>
      <c r="G30">
        <v>0</v>
      </c>
      <c r="H30">
        <v>1</v>
      </c>
      <c r="I30">
        <v>0</v>
      </c>
      <c r="M30" t="s">
        <v>1199</v>
      </c>
      <c r="N30" s="44">
        <f>6/28</f>
        <v>0.21428571428571427</v>
      </c>
      <c r="O30" s="44">
        <f>2/6</f>
        <v>0.33333333333333331</v>
      </c>
      <c r="P30" s="44">
        <f>2/55</f>
        <v>3.6363636363636362E-2</v>
      </c>
      <c r="Q30" s="44">
        <f>2/5</f>
        <v>0.4</v>
      </c>
    </row>
    <row r="31" spans="1:17">
      <c r="A31" t="s">
        <v>974</v>
      </c>
      <c r="B31">
        <v>1</v>
      </c>
      <c r="C31">
        <v>0</v>
      </c>
      <c r="D31">
        <v>0</v>
      </c>
      <c r="E31">
        <v>0</v>
      </c>
      <c r="F31">
        <v>0</v>
      </c>
      <c r="G31">
        <v>0</v>
      </c>
      <c r="H31">
        <v>0</v>
      </c>
      <c r="I31">
        <v>0</v>
      </c>
      <c r="M31" t="s">
        <v>1196</v>
      </c>
      <c r="N31" s="44">
        <f>9/28</f>
        <v>0.32142857142857145</v>
      </c>
      <c r="O31" s="44">
        <f>0/6</f>
        <v>0</v>
      </c>
      <c r="P31" s="44">
        <f>21/55</f>
        <v>0.38181818181818183</v>
      </c>
      <c r="Q31" s="44">
        <f>2/5</f>
        <v>0.4</v>
      </c>
    </row>
    <row r="32" spans="1:17">
      <c r="A32" t="s">
        <v>973</v>
      </c>
      <c r="B32">
        <v>1</v>
      </c>
      <c r="C32">
        <v>0</v>
      </c>
      <c r="D32">
        <v>1</v>
      </c>
      <c r="E32">
        <v>0</v>
      </c>
      <c r="F32">
        <v>1</v>
      </c>
      <c r="G32">
        <v>0</v>
      </c>
      <c r="H32">
        <v>0</v>
      </c>
      <c r="I32">
        <v>0</v>
      </c>
      <c r="M32" t="s">
        <v>1195</v>
      </c>
      <c r="N32" s="44">
        <f>11/28</f>
        <v>0.39285714285714285</v>
      </c>
      <c r="O32" s="44">
        <f>6/6</f>
        <v>1</v>
      </c>
      <c r="P32" s="44">
        <f>14/55</f>
        <v>0.25454545454545452</v>
      </c>
      <c r="Q32" s="44">
        <f>3/5</f>
        <v>0.6</v>
      </c>
    </row>
    <row r="33" spans="1:17">
      <c r="A33" t="s">
        <v>973</v>
      </c>
      <c r="B33">
        <v>1</v>
      </c>
      <c r="C33">
        <v>0</v>
      </c>
      <c r="D33">
        <v>1</v>
      </c>
      <c r="E33">
        <v>0</v>
      </c>
      <c r="F33">
        <v>0</v>
      </c>
      <c r="G33">
        <v>0</v>
      </c>
      <c r="H33">
        <v>0</v>
      </c>
      <c r="I33">
        <v>0</v>
      </c>
      <c r="M33" t="s">
        <v>1193</v>
      </c>
      <c r="N33" s="44">
        <f>28/28</f>
        <v>1</v>
      </c>
      <c r="O33" s="44">
        <f>6/6</f>
        <v>1</v>
      </c>
      <c r="P33" s="44">
        <f>53/55</f>
        <v>0.96363636363636362</v>
      </c>
      <c r="Q33" s="44">
        <f>4/5</f>
        <v>0.8</v>
      </c>
    </row>
    <row r="34" spans="1:17">
      <c r="A34" t="s">
        <v>973</v>
      </c>
      <c r="B34">
        <v>1</v>
      </c>
      <c r="C34">
        <v>0</v>
      </c>
      <c r="D34">
        <v>1</v>
      </c>
      <c r="E34">
        <v>0</v>
      </c>
      <c r="F34">
        <v>0</v>
      </c>
      <c r="G34">
        <v>0</v>
      </c>
      <c r="H34">
        <v>0</v>
      </c>
      <c r="I34">
        <v>0</v>
      </c>
    </row>
    <row r="35" spans="1:17">
      <c r="A35" t="s">
        <v>973</v>
      </c>
      <c r="B35">
        <v>1</v>
      </c>
      <c r="C35">
        <v>0</v>
      </c>
      <c r="D35">
        <v>1</v>
      </c>
      <c r="E35">
        <v>0</v>
      </c>
      <c r="F35">
        <v>1</v>
      </c>
      <c r="G35">
        <v>0</v>
      </c>
      <c r="H35">
        <v>1</v>
      </c>
      <c r="I35">
        <v>0</v>
      </c>
    </row>
    <row r="36" spans="1:17">
      <c r="A36" t="s">
        <v>973</v>
      </c>
      <c r="B36">
        <v>1</v>
      </c>
      <c r="C36">
        <v>0</v>
      </c>
      <c r="D36">
        <v>1</v>
      </c>
      <c r="E36">
        <v>0</v>
      </c>
      <c r="F36">
        <v>0</v>
      </c>
      <c r="G36">
        <v>0</v>
      </c>
      <c r="H36">
        <v>0</v>
      </c>
      <c r="I36">
        <v>0</v>
      </c>
    </row>
    <row r="37" spans="1:17">
      <c r="A37" t="s">
        <v>973</v>
      </c>
      <c r="B37">
        <v>1</v>
      </c>
      <c r="C37">
        <v>0</v>
      </c>
      <c r="D37">
        <v>1</v>
      </c>
      <c r="E37">
        <v>0</v>
      </c>
      <c r="F37">
        <v>0</v>
      </c>
      <c r="G37">
        <v>0</v>
      </c>
      <c r="H37">
        <v>1</v>
      </c>
      <c r="I37">
        <v>0</v>
      </c>
    </row>
    <row r="38" spans="1:17">
      <c r="A38" t="s">
        <v>972</v>
      </c>
      <c r="B38">
        <v>1</v>
      </c>
      <c r="C38">
        <v>0</v>
      </c>
      <c r="D38">
        <v>0</v>
      </c>
      <c r="E38">
        <v>0</v>
      </c>
      <c r="F38">
        <v>0</v>
      </c>
      <c r="G38">
        <v>0</v>
      </c>
      <c r="H38">
        <v>0</v>
      </c>
      <c r="I38">
        <v>0</v>
      </c>
    </row>
    <row r="39" spans="1:17">
      <c r="A39" t="s">
        <v>972</v>
      </c>
      <c r="B39">
        <v>1</v>
      </c>
      <c r="C39">
        <v>0</v>
      </c>
      <c r="D39">
        <v>1</v>
      </c>
      <c r="E39">
        <v>0</v>
      </c>
      <c r="F39">
        <v>1</v>
      </c>
      <c r="G39">
        <v>0</v>
      </c>
      <c r="H39">
        <v>0</v>
      </c>
      <c r="I39">
        <v>0</v>
      </c>
    </row>
    <row r="40" spans="1:17">
      <c r="A40" t="s">
        <v>972</v>
      </c>
      <c r="B40">
        <v>1</v>
      </c>
      <c r="C40">
        <v>0</v>
      </c>
      <c r="D40">
        <v>1</v>
      </c>
      <c r="E40">
        <v>1</v>
      </c>
      <c r="F40">
        <v>0</v>
      </c>
      <c r="G40">
        <v>0</v>
      </c>
      <c r="H40">
        <v>0</v>
      </c>
      <c r="I40">
        <v>1</v>
      </c>
    </row>
    <row r="41" spans="1:17">
      <c r="A41" t="s">
        <v>972</v>
      </c>
      <c r="B41">
        <v>1</v>
      </c>
      <c r="C41">
        <v>0</v>
      </c>
      <c r="D41">
        <v>0</v>
      </c>
      <c r="E41">
        <v>1</v>
      </c>
      <c r="F41">
        <v>0</v>
      </c>
      <c r="G41">
        <v>0</v>
      </c>
      <c r="H41">
        <v>0</v>
      </c>
      <c r="I41">
        <v>0</v>
      </c>
    </row>
    <row r="42" spans="1:17">
      <c r="A42" t="s">
        <v>972</v>
      </c>
      <c r="B42">
        <v>1</v>
      </c>
      <c r="C42">
        <v>0</v>
      </c>
      <c r="D42">
        <v>0</v>
      </c>
      <c r="E42">
        <v>0</v>
      </c>
      <c r="F42">
        <v>0</v>
      </c>
      <c r="G42">
        <v>0</v>
      </c>
      <c r="H42">
        <v>0</v>
      </c>
      <c r="I42">
        <v>0</v>
      </c>
    </row>
    <row r="43" spans="1:17">
      <c r="A43" t="s">
        <v>972</v>
      </c>
      <c r="B43">
        <v>1</v>
      </c>
      <c r="C43">
        <v>0</v>
      </c>
      <c r="D43">
        <v>1</v>
      </c>
      <c r="E43">
        <v>0</v>
      </c>
      <c r="F43">
        <v>0</v>
      </c>
      <c r="G43">
        <v>0</v>
      </c>
      <c r="H43">
        <v>0</v>
      </c>
      <c r="I43">
        <v>0</v>
      </c>
    </row>
    <row r="44" spans="1:17">
      <c r="A44" t="s">
        <v>972</v>
      </c>
      <c r="B44">
        <v>1</v>
      </c>
      <c r="C44">
        <v>0</v>
      </c>
      <c r="D44">
        <v>0</v>
      </c>
      <c r="E44">
        <v>1</v>
      </c>
      <c r="F44">
        <v>0</v>
      </c>
      <c r="G44">
        <v>0</v>
      </c>
      <c r="H44">
        <v>0</v>
      </c>
      <c r="I44">
        <v>0</v>
      </c>
    </row>
    <row r="45" spans="1:17">
      <c r="A45" t="s">
        <v>972</v>
      </c>
      <c r="B45">
        <v>1</v>
      </c>
      <c r="C45">
        <v>0</v>
      </c>
      <c r="D45">
        <v>0</v>
      </c>
      <c r="E45">
        <v>0</v>
      </c>
      <c r="F45">
        <v>1</v>
      </c>
      <c r="G45">
        <v>0</v>
      </c>
      <c r="H45">
        <v>0</v>
      </c>
      <c r="I45">
        <v>0</v>
      </c>
    </row>
    <row r="46" spans="1:17">
      <c r="A46" t="s">
        <v>972</v>
      </c>
      <c r="B46">
        <v>1</v>
      </c>
      <c r="C46">
        <v>0</v>
      </c>
      <c r="D46">
        <v>0</v>
      </c>
      <c r="E46">
        <v>1</v>
      </c>
      <c r="F46">
        <v>0</v>
      </c>
      <c r="G46">
        <v>0</v>
      </c>
      <c r="H46">
        <v>0</v>
      </c>
      <c r="I46">
        <v>0</v>
      </c>
    </row>
    <row r="47" spans="1:17">
      <c r="A47" t="s">
        <v>972</v>
      </c>
      <c r="B47">
        <v>1</v>
      </c>
      <c r="C47">
        <v>0</v>
      </c>
      <c r="D47">
        <v>0</v>
      </c>
      <c r="E47">
        <v>0</v>
      </c>
      <c r="F47">
        <v>0</v>
      </c>
      <c r="G47">
        <v>0</v>
      </c>
      <c r="H47">
        <v>0</v>
      </c>
      <c r="I47">
        <v>0</v>
      </c>
    </row>
    <row r="48" spans="1:17">
      <c r="A48" t="s">
        <v>972</v>
      </c>
      <c r="B48">
        <v>1</v>
      </c>
      <c r="C48">
        <v>0</v>
      </c>
      <c r="D48">
        <v>0</v>
      </c>
      <c r="E48">
        <v>1</v>
      </c>
      <c r="F48">
        <v>0</v>
      </c>
      <c r="G48">
        <v>0</v>
      </c>
      <c r="H48">
        <v>0</v>
      </c>
      <c r="I48">
        <v>0</v>
      </c>
    </row>
    <row r="49" spans="1:9">
      <c r="A49" t="s">
        <v>972</v>
      </c>
      <c r="B49">
        <v>1</v>
      </c>
      <c r="C49">
        <v>0</v>
      </c>
      <c r="D49">
        <v>0</v>
      </c>
      <c r="E49">
        <v>1</v>
      </c>
      <c r="F49">
        <v>1</v>
      </c>
      <c r="G49">
        <v>0</v>
      </c>
      <c r="H49">
        <v>0</v>
      </c>
      <c r="I49">
        <v>0</v>
      </c>
    </row>
    <row r="50" spans="1:9">
      <c r="A50" t="s">
        <v>972</v>
      </c>
      <c r="B50">
        <v>1</v>
      </c>
      <c r="C50">
        <v>0</v>
      </c>
      <c r="D50">
        <v>0</v>
      </c>
      <c r="E50">
        <v>0</v>
      </c>
      <c r="F50">
        <v>0</v>
      </c>
      <c r="G50">
        <v>0</v>
      </c>
      <c r="H50">
        <v>0</v>
      </c>
      <c r="I50">
        <v>0</v>
      </c>
    </row>
    <row r="51" spans="1:9">
      <c r="A51" t="s">
        <v>972</v>
      </c>
      <c r="B51">
        <v>1</v>
      </c>
      <c r="C51">
        <v>0</v>
      </c>
      <c r="D51">
        <v>0</v>
      </c>
      <c r="E51">
        <v>0</v>
      </c>
      <c r="F51">
        <v>0</v>
      </c>
      <c r="G51">
        <v>0</v>
      </c>
      <c r="H51">
        <v>0</v>
      </c>
      <c r="I51">
        <v>0</v>
      </c>
    </row>
    <row r="52" spans="1:9">
      <c r="A52" t="s">
        <v>972</v>
      </c>
      <c r="B52">
        <v>1</v>
      </c>
      <c r="C52">
        <v>0</v>
      </c>
      <c r="D52">
        <v>0</v>
      </c>
      <c r="E52">
        <v>0</v>
      </c>
      <c r="F52">
        <v>0</v>
      </c>
      <c r="G52">
        <v>0</v>
      </c>
      <c r="H52">
        <v>0</v>
      </c>
      <c r="I52">
        <v>0</v>
      </c>
    </row>
    <row r="53" spans="1:9">
      <c r="A53" t="s">
        <v>972</v>
      </c>
      <c r="B53">
        <v>1</v>
      </c>
      <c r="C53">
        <v>0</v>
      </c>
      <c r="D53">
        <v>0</v>
      </c>
      <c r="E53">
        <v>1</v>
      </c>
      <c r="F53">
        <v>0</v>
      </c>
      <c r="G53">
        <v>0</v>
      </c>
      <c r="H53">
        <v>0</v>
      </c>
      <c r="I53">
        <v>0</v>
      </c>
    </row>
    <row r="54" spans="1:9">
      <c r="A54" t="s">
        <v>972</v>
      </c>
      <c r="B54">
        <v>1</v>
      </c>
      <c r="C54">
        <v>0</v>
      </c>
      <c r="D54">
        <v>0</v>
      </c>
      <c r="E54">
        <v>0</v>
      </c>
      <c r="F54">
        <v>0</v>
      </c>
      <c r="G54">
        <v>0</v>
      </c>
      <c r="H54">
        <v>0</v>
      </c>
      <c r="I54">
        <v>0</v>
      </c>
    </row>
    <row r="55" spans="1:9">
      <c r="A55" t="s">
        <v>972</v>
      </c>
      <c r="B55">
        <v>1</v>
      </c>
      <c r="C55">
        <v>0</v>
      </c>
      <c r="D55">
        <v>0</v>
      </c>
      <c r="E55">
        <v>0</v>
      </c>
      <c r="F55">
        <v>0</v>
      </c>
      <c r="G55">
        <v>0</v>
      </c>
      <c r="H55">
        <v>0</v>
      </c>
      <c r="I55">
        <v>0</v>
      </c>
    </row>
    <row r="56" spans="1:9">
      <c r="A56" t="s">
        <v>972</v>
      </c>
      <c r="B56">
        <v>1</v>
      </c>
      <c r="C56">
        <v>0</v>
      </c>
      <c r="D56">
        <v>0</v>
      </c>
      <c r="E56">
        <v>1</v>
      </c>
      <c r="F56">
        <v>0</v>
      </c>
      <c r="G56">
        <v>0</v>
      </c>
      <c r="H56">
        <v>0</v>
      </c>
      <c r="I56">
        <v>0</v>
      </c>
    </row>
    <row r="57" spans="1:9">
      <c r="A57" t="s">
        <v>972</v>
      </c>
      <c r="B57">
        <v>1</v>
      </c>
      <c r="C57">
        <v>0</v>
      </c>
      <c r="D57">
        <v>0</v>
      </c>
      <c r="E57">
        <v>0</v>
      </c>
      <c r="F57">
        <v>0</v>
      </c>
      <c r="G57">
        <v>0</v>
      </c>
      <c r="H57">
        <v>0</v>
      </c>
      <c r="I57">
        <v>0</v>
      </c>
    </row>
    <row r="58" spans="1:9">
      <c r="A58" t="s">
        <v>972</v>
      </c>
      <c r="B58">
        <v>1</v>
      </c>
      <c r="C58">
        <v>0</v>
      </c>
      <c r="D58">
        <v>0</v>
      </c>
      <c r="E58">
        <v>0</v>
      </c>
      <c r="F58">
        <v>0</v>
      </c>
      <c r="G58">
        <v>0</v>
      </c>
      <c r="H58">
        <v>0</v>
      </c>
      <c r="I58">
        <v>0</v>
      </c>
    </row>
    <row r="59" spans="1:9">
      <c r="A59" t="s">
        <v>972</v>
      </c>
      <c r="B59">
        <v>1</v>
      </c>
      <c r="C59">
        <v>0</v>
      </c>
      <c r="D59">
        <v>1</v>
      </c>
      <c r="E59">
        <v>1</v>
      </c>
      <c r="F59">
        <v>0</v>
      </c>
      <c r="G59">
        <v>0</v>
      </c>
      <c r="H59">
        <v>0</v>
      </c>
      <c r="I59">
        <v>0</v>
      </c>
    </row>
    <row r="60" spans="1:9">
      <c r="A60" t="s">
        <v>972</v>
      </c>
      <c r="B60">
        <v>1</v>
      </c>
      <c r="C60">
        <v>0</v>
      </c>
      <c r="D60">
        <v>1</v>
      </c>
      <c r="E60">
        <v>1</v>
      </c>
      <c r="F60">
        <v>0</v>
      </c>
      <c r="G60">
        <v>0</v>
      </c>
      <c r="H60">
        <v>0</v>
      </c>
      <c r="I60">
        <v>0</v>
      </c>
    </row>
    <row r="61" spans="1:9">
      <c r="A61" t="s">
        <v>972</v>
      </c>
      <c r="B61">
        <v>1</v>
      </c>
      <c r="C61">
        <v>0</v>
      </c>
      <c r="D61">
        <v>0</v>
      </c>
      <c r="E61">
        <v>1</v>
      </c>
      <c r="F61">
        <v>0</v>
      </c>
      <c r="G61">
        <v>0</v>
      </c>
      <c r="H61">
        <v>0</v>
      </c>
      <c r="I61">
        <v>0</v>
      </c>
    </row>
    <row r="62" spans="1:9">
      <c r="A62" t="s">
        <v>972</v>
      </c>
      <c r="B62">
        <v>1</v>
      </c>
      <c r="C62">
        <v>0</v>
      </c>
      <c r="D62">
        <v>0</v>
      </c>
      <c r="E62">
        <v>0</v>
      </c>
      <c r="F62">
        <v>0</v>
      </c>
      <c r="G62">
        <v>0</v>
      </c>
      <c r="H62">
        <v>0</v>
      </c>
      <c r="I62">
        <v>0</v>
      </c>
    </row>
    <row r="63" spans="1:9">
      <c r="A63" t="s">
        <v>972</v>
      </c>
      <c r="B63">
        <v>1</v>
      </c>
      <c r="C63">
        <v>0</v>
      </c>
      <c r="D63">
        <v>1</v>
      </c>
      <c r="E63">
        <v>0</v>
      </c>
      <c r="F63">
        <v>0</v>
      </c>
      <c r="G63">
        <v>0</v>
      </c>
      <c r="H63">
        <v>0</v>
      </c>
      <c r="I63">
        <v>0</v>
      </c>
    </row>
    <row r="64" spans="1:9">
      <c r="A64" t="s">
        <v>972</v>
      </c>
      <c r="B64">
        <v>1</v>
      </c>
      <c r="C64">
        <v>0</v>
      </c>
      <c r="D64">
        <v>0</v>
      </c>
      <c r="E64">
        <v>1</v>
      </c>
      <c r="F64">
        <v>1</v>
      </c>
      <c r="G64">
        <v>1</v>
      </c>
      <c r="H64">
        <v>0</v>
      </c>
      <c r="I64">
        <v>0</v>
      </c>
    </row>
    <row r="65" spans="1:14">
      <c r="A65" t="s">
        <v>972</v>
      </c>
      <c r="B65">
        <v>1</v>
      </c>
      <c r="C65">
        <v>0</v>
      </c>
      <c r="D65">
        <v>1</v>
      </c>
      <c r="E65">
        <v>1</v>
      </c>
      <c r="F65">
        <v>0</v>
      </c>
      <c r="G65">
        <v>0</v>
      </c>
      <c r="H65">
        <v>0</v>
      </c>
      <c r="I65">
        <v>0</v>
      </c>
    </row>
    <row r="66" spans="1:14">
      <c r="A66" t="s">
        <v>972</v>
      </c>
      <c r="B66">
        <v>1</v>
      </c>
      <c r="C66">
        <v>0</v>
      </c>
      <c r="D66">
        <v>0</v>
      </c>
      <c r="E66">
        <v>0</v>
      </c>
      <c r="F66">
        <v>0</v>
      </c>
      <c r="G66">
        <v>0</v>
      </c>
      <c r="H66">
        <v>0</v>
      </c>
      <c r="I66">
        <v>0</v>
      </c>
    </row>
    <row r="67" spans="1:14">
      <c r="A67" t="s">
        <v>972</v>
      </c>
      <c r="B67">
        <v>1</v>
      </c>
      <c r="C67">
        <v>0</v>
      </c>
      <c r="D67">
        <v>0</v>
      </c>
      <c r="E67">
        <v>1</v>
      </c>
      <c r="F67">
        <v>0</v>
      </c>
      <c r="G67">
        <v>0</v>
      </c>
      <c r="H67">
        <v>0</v>
      </c>
      <c r="I67">
        <v>0</v>
      </c>
    </row>
    <row r="68" spans="1:14">
      <c r="A68" t="s">
        <v>972</v>
      </c>
      <c r="B68">
        <v>1</v>
      </c>
      <c r="C68">
        <v>0</v>
      </c>
      <c r="D68">
        <v>0</v>
      </c>
      <c r="E68">
        <v>0</v>
      </c>
      <c r="F68">
        <v>1</v>
      </c>
      <c r="G68">
        <v>0</v>
      </c>
      <c r="H68">
        <v>0</v>
      </c>
      <c r="I68">
        <v>0</v>
      </c>
    </row>
    <row r="69" spans="1:14">
      <c r="A69" t="s">
        <v>972</v>
      </c>
      <c r="B69">
        <v>1</v>
      </c>
      <c r="C69">
        <v>0</v>
      </c>
      <c r="D69">
        <v>0</v>
      </c>
      <c r="E69">
        <v>0</v>
      </c>
      <c r="F69">
        <v>0</v>
      </c>
      <c r="G69">
        <v>0</v>
      </c>
      <c r="H69">
        <v>0</v>
      </c>
      <c r="I69">
        <v>0</v>
      </c>
    </row>
    <row r="70" spans="1:14">
      <c r="A70" t="s">
        <v>972</v>
      </c>
      <c r="B70">
        <v>1</v>
      </c>
      <c r="C70">
        <v>0</v>
      </c>
      <c r="D70">
        <v>0</v>
      </c>
      <c r="E70">
        <v>0</v>
      </c>
      <c r="F70">
        <v>0</v>
      </c>
      <c r="G70">
        <v>0</v>
      </c>
      <c r="H70">
        <v>0</v>
      </c>
      <c r="I70">
        <v>0</v>
      </c>
    </row>
    <row r="71" spans="1:14">
      <c r="A71" t="s">
        <v>972</v>
      </c>
      <c r="B71">
        <v>1</v>
      </c>
      <c r="C71">
        <v>0</v>
      </c>
      <c r="D71">
        <v>1</v>
      </c>
      <c r="E71">
        <v>0</v>
      </c>
      <c r="F71">
        <v>1</v>
      </c>
      <c r="G71">
        <v>1</v>
      </c>
      <c r="H71">
        <v>0</v>
      </c>
      <c r="I71">
        <v>0</v>
      </c>
    </row>
    <row r="72" spans="1:14">
      <c r="A72" t="s">
        <v>972</v>
      </c>
      <c r="B72">
        <v>1</v>
      </c>
      <c r="C72">
        <v>0</v>
      </c>
      <c r="D72">
        <v>0</v>
      </c>
      <c r="E72">
        <v>1</v>
      </c>
      <c r="F72">
        <v>1</v>
      </c>
      <c r="G72">
        <v>0</v>
      </c>
      <c r="H72">
        <v>0</v>
      </c>
      <c r="I72">
        <v>0</v>
      </c>
      <c r="M72" t="s">
        <v>1207</v>
      </c>
    </row>
    <row r="73" spans="1:14">
      <c r="A73" t="s">
        <v>972</v>
      </c>
      <c r="B73">
        <v>1</v>
      </c>
      <c r="C73">
        <v>0</v>
      </c>
      <c r="D73">
        <v>0</v>
      </c>
      <c r="E73">
        <v>0</v>
      </c>
      <c r="F73">
        <v>0</v>
      </c>
      <c r="G73">
        <v>0</v>
      </c>
      <c r="H73">
        <v>0</v>
      </c>
      <c r="I73">
        <v>0</v>
      </c>
    </row>
    <row r="74" spans="1:14">
      <c r="A74" t="s">
        <v>972</v>
      </c>
      <c r="B74">
        <v>1</v>
      </c>
      <c r="C74">
        <v>0</v>
      </c>
      <c r="D74">
        <v>1</v>
      </c>
      <c r="E74">
        <v>0</v>
      </c>
      <c r="F74">
        <v>0</v>
      </c>
      <c r="G74">
        <v>0</v>
      </c>
      <c r="H74">
        <v>0</v>
      </c>
      <c r="I74">
        <v>0</v>
      </c>
      <c r="M74" t="s">
        <v>974</v>
      </c>
      <c r="N74" t="s">
        <v>568</v>
      </c>
    </row>
    <row r="75" spans="1:14">
      <c r="A75" t="s">
        <v>972</v>
      </c>
      <c r="B75">
        <v>1</v>
      </c>
      <c r="C75">
        <v>0</v>
      </c>
      <c r="D75">
        <v>0</v>
      </c>
      <c r="E75">
        <v>1</v>
      </c>
      <c r="F75">
        <v>0</v>
      </c>
      <c r="G75">
        <v>0</v>
      </c>
      <c r="H75">
        <v>0</v>
      </c>
      <c r="I75">
        <v>0</v>
      </c>
      <c r="M75" t="s">
        <v>974</v>
      </c>
      <c r="N75" t="s">
        <v>554</v>
      </c>
    </row>
    <row r="76" spans="1:14">
      <c r="A76" t="s">
        <v>972</v>
      </c>
      <c r="B76">
        <v>1</v>
      </c>
      <c r="C76">
        <v>0</v>
      </c>
      <c r="D76">
        <v>1</v>
      </c>
      <c r="E76">
        <v>0</v>
      </c>
      <c r="F76">
        <v>0</v>
      </c>
      <c r="G76">
        <v>0</v>
      </c>
      <c r="H76">
        <v>0</v>
      </c>
      <c r="I76">
        <v>0</v>
      </c>
      <c r="M76" t="s">
        <v>972</v>
      </c>
      <c r="N76" t="s">
        <v>547</v>
      </c>
    </row>
    <row r="77" spans="1:14">
      <c r="A77" t="s">
        <v>972</v>
      </c>
      <c r="B77">
        <v>1</v>
      </c>
      <c r="C77">
        <v>0</v>
      </c>
      <c r="D77">
        <v>0</v>
      </c>
      <c r="E77">
        <v>0</v>
      </c>
      <c r="F77">
        <v>0</v>
      </c>
      <c r="G77">
        <v>0</v>
      </c>
      <c r="H77">
        <v>0</v>
      </c>
      <c r="I77">
        <v>0</v>
      </c>
    </row>
    <row r="78" spans="1:14">
      <c r="A78" t="s">
        <v>972</v>
      </c>
      <c r="B78">
        <v>1</v>
      </c>
      <c r="C78">
        <v>0</v>
      </c>
      <c r="D78">
        <v>1</v>
      </c>
      <c r="E78">
        <v>1</v>
      </c>
      <c r="F78">
        <v>0</v>
      </c>
      <c r="G78">
        <v>0</v>
      </c>
      <c r="H78">
        <v>1</v>
      </c>
      <c r="I78">
        <v>0</v>
      </c>
    </row>
    <row r="79" spans="1:14">
      <c r="A79" t="s">
        <v>972</v>
      </c>
      <c r="B79">
        <v>1</v>
      </c>
      <c r="C79">
        <v>0</v>
      </c>
      <c r="D79">
        <v>0</v>
      </c>
      <c r="E79">
        <v>0</v>
      </c>
      <c r="F79">
        <v>0</v>
      </c>
      <c r="G79">
        <v>0</v>
      </c>
      <c r="H79">
        <v>0</v>
      </c>
      <c r="I79">
        <v>0</v>
      </c>
    </row>
    <row r="80" spans="1:14">
      <c r="A80" t="s">
        <v>972</v>
      </c>
      <c r="B80">
        <v>1</v>
      </c>
      <c r="C80">
        <v>0</v>
      </c>
      <c r="D80">
        <v>0</v>
      </c>
      <c r="E80">
        <v>1</v>
      </c>
      <c r="F80">
        <v>1</v>
      </c>
      <c r="G80">
        <v>1</v>
      </c>
      <c r="H80">
        <v>1</v>
      </c>
      <c r="I80">
        <v>0</v>
      </c>
    </row>
    <row r="81" spans="1:9">
      <c r="A81" t="s">
        <v>972</v>
      </c>
      <c r="B81">
        <v>1</v>
      </c>
      <c r="C81">
        <v>1</v>
      </c>
      <c r="D81">
        <v>0</v>
      </c>
      <c r="E81">
        <v>1</v>
      </c>
      <c r="F81">
        <v>0</v>
      </c>
      <c r="G81">
        <v>0</v>
      </c>
      <c r="H81">
        <v>0</v>
      </c>
      <c r="I81">
        <v>0</v>
      </c>
    </row>
    <row r="82" spans="1:9">
      <c r="A82" t="s">
        <v>972</v>
      </c>
      <c r="B82">
        <v>1</v>
      </c>
      <c r="C82">
        <v>0</v>
      </c>
      <c r="D82">
        <v>1</v>
      </c>
      <c r="E82">
        <v>0</v>
      </c>
      <c r="F82">
        <v>1</v>
      </c>
      <c r="G82">
        <v>1</v>
      </c>
      <c r="H82">
        <v>0</v>
      </c>
      <c r="I82">
        <v>0</v>
      </c>
    </row>
    <row r="83" spans="1:9">
      <c r="A83" t="s">
        <v>972</v>
      </c>
      <c r="B83">
        <v>1</v>
      </c>
      <c r="C83">
        <v>0</v>
      </c>
      <c r="D83">
        <v>0</v>
      </c>
      <c r="E83">
        <v>0</v>
      </c>
      <c r="F83">
        <v>0</v>
      </c>
      <c r="G83">
        <v>0</v>
      </c>
      <c r="H83">
        <v>0</v>
      </c>
      <c r="I83">
        <v>0</v>
      </c>
    </row>
    <row r="84" spans="1:9">
      <c r="A84" t="s">
        <v>972</v>
      </c>
      <c r="B84">
        <v>1</v>
      </c>
      <c r="C84">
        <v>0</v>
      </c>
      <c r="D84">
        <v>0</v>
      </c>
      <c r="E84">
        <v>0</v>
      </c>
      <c r="F84">
        <v>0</v>
      </c>
      <c r="G84">
        <v>0</v>
      </c>
      <c r="H84">
        <v>0</v>
      </c>
      <c r="I84">
        <v>0</v>
      </c>
    </row>
    <row r="85" spans="1:9">
      <c r="A85" t="s">
        <v>972</v>
      </c>
      <c r="B85">
        <v>1</v>
      </c>
      <c r="C85">
        <v>0</v>
      </c>
      <c r="D85">
        <v>1</v>
      </c>
      <c r="E85">
        <v>0</v>
      </c>
      <c r="F85">
        <v>0</v>
      </c>
      <c r="G85">
        <v>0</v>
      </c>
      <c r="H85">
        <v>0</v>
      </c>
      <c r="I85">
        <v>0</v>
      </c>
    </row>
    <row r="86" spans="1:9">
      <c r="A86" t="s">
        <v>972</v>
      </c>
      <c r="B86">
        <v>1</v>
      </c>
      <c r="C86">
        <v>0</v>
      </c>
      <c r="D86">
        <v>0</v>
      </c>
      <c r="E86">
        <v>0</v>
      </c>
      <c r="F86">
        <v>0</v>
      </c>
      <c r="G86">
        <v>0</v>
      </c>
      <c r="H86">
        <v>0</v>
      </c>
      <c r="I86">
        <v>0</v>
      </c>
    </row>
    <row r="87" spans="1:9">
      <c r="A87" t="s">
        <v>972</v>
      </c>
      <c r="B87">
        <v>1</v>
      </c>
      <c r="C87">
        <v>0</v>
      </c>
      <c r="D87">
        <v>0</v>
      </c>
      <c r="E87">
        <v>0</v>
      </c>
      <c r="F87">
        <v>0</v>
      </c>
      <c r="G87">
        <v>0</v>
      </c>
      <c r="H87">
        <v>0</v>
      </c>
      <c r="I87">
        <v>0</v>
      </c>
    </row>
    <row r="88" spans="1:9">
      <c r="A88" t="s">
        <v>972</v>
      </c>
      <c r="B88">
        <v>1</v>
      </c>
      <c r="C88">
        <v>0</v>
      </c>
      <c r="D88">
        <v>1</v>
      </c>
      <c r="E88">
        <v>0</v>
      </c>
      <c r="F88">
        <v>0</v>
      </c>
      <c r="G88">
        <v>0</v>
      </c>
      <c r="H88">
        <v>0</v>
      </c>
      <c r="I88">
        <v>0</v>
      </c>
    </row>
    <row r="89" spans="1:9">
      <c r="A89" t="s">
        <v>972</v>
      </c>
      <c r="B89">
        <v>1</v>
      </c>
      <c r="C89">
        <v>0</v>
      </c>
      <c r="D89">
        <v>0</v>
      </c>
      <c r="E89">
        <v>0</v>
      </c>
      <c r="F89">
        <v>0</v>
      </c>
      <c r="G89">
        <v>0</v>
      </c>
      <c r="H89">
        <v>0</v>
      </c>
      <c r="I89">
        <v>0</v>
      </c>
    </row>
    <row r="90" spans="1:9">
      <c r="A90" t="s">
        <v>972</v>
      </c>
      <c r="B90">
        <v>1</v>
      </c>
      <c r="C90">
        <v>0</v>
      </c>
      <c r="D90">
        <v>0</v>
      </c>
      <c r="E90">
        <v>0</v>
      </c>
      <c r="F90">
        <v>0</v>
      </c>
      <c r="G90">
        <v>0</v>
      </c>
      <c r="H90">
        <v>0</v>
      </c>
      <c r="I90">
        <v>0</v>
      </c>
    </row>
    <row r="91" spans="1:9">
      <c r="A91" t="s">
        <v>972</v>
      </c>
      <c r="B91">
        <v>0</v>
      </c>
      <c r="C91">
        <v>0</v>
      </c>
      <c r="D91">
        <v>0</v>
      </c>
      <c r="E91">
        <v>1</v>
      </c>
      <c r="F91">
        <v>0</v>
      </c>
      <c r="G91">
        <v>0</v>
      </c>
      <c r="H91">
        <v>0</v>
      </c>
      <c r="I91">
        <v>0</v>
      </c>
    </row>
    <row r="92" spans="1:9">
      <c r="A92" t="s">
        <v>972</v>
      </c>
      <c r="B92">
        <v>0</v>
      </c>
      <c r="C92">
        <v>0</v>
      </c>
      <c r="D92">
        <v>0</v>
      </c>
      <c r="E92">
        <v>1</v>
      </c>
      <c r="F92">
        <v>0</v>
      </c>
      <c r="G92">
        <v>0</v>
      </c>
      <c r="H92">
        <v>0</v>
      </c>
      <c r="I92">
        <v>0</v>
      </c>
    </row>
    <row r="93" spans="1:9">
      <c r="A93" t="s">
        <v>954</v>
      </c>
      <c r="B93">
        <v>1</v>
      </c>
      <c r="C93">
        <v>1</v>
      </c>
      <c r="D93">
        <v>1</v>
      </c>
      <c r="E93">
        <v>1</v>
      </c>
      <c r="F93">
        <v>0</v>
      </c>
      <c r="G93">
        <v>0</v>
      </c>
      <c r="H93">
        <v>1</v>
      </c>
      <c r="I93">
        <v>0</v>
      </c>
    </row>
    <row r="94" spans="1:9">
      <c r="A94" t="s">
        <v>954</v>
      </c>
      <c r="B94">
        <v>1</v>
      </c>
      <c r="C94">
        <v>1</v>
      </c>
      <c r="D94">
        <v>0</v>
      </c>
      <c r="E94">
        <v>0</v>
      </c>
      <c r="F94">
        <v>0</v>
      </c>
      <c r="G94">
        <v>0</v>
      </c>
      <c r="H94">
        <v>0</v>
      </c>
      <c r="I94">
        <v>0</v>
      </c>
    </row>
    <row r="95" spans="1:9">
      <c r="A95" t="s">
        <v>954</v>
      </c>
      <c r="B95">
        <v>1</v>
      </c>
      <c r="C95">
        <v>0</v>
      </c>
      <c r="D95">
        <v>0</v>
      </c>
      <c r="E95">
        <v>1</v>
      </c>
      <c r="F95">
        <v>0</v>
      </c>
      <c r="G95">
        <v>0</v>
      </c>
      <c r="H95">
        <v>0</v>
      </c>
      <c r="I95">
        <v>0</v>
      </c>
    </row>
    <row r="96" spans="1:9">
      <c r="A96" t="s">
        <v>954</v>
      </c>
      <c r="B96">
        <v>1</v>
      </c>
      <c r="C96">
        <v>0</v>
      </c>
      <c r="D96">
        <v>1</v>
      </c>
      <c r="E96">
        <v>0</v>
      </c>
      <c r="F96">
        <v>0</v>
      </c>
      <c r="G96">
        <v>0</v>
      </c>
      <c r="H96">
        <v>0</v>
      </c>
      <c r="I96">
        <v>0</v>
      </c>
    </row>
    <row r="97" spans="1:9">
      <c r="A97" t="s">
        <v>954</v>
      </c>
      <c r="B97">
        <v>0</v>
      </c>
      <c r="C97">
        <v>0</v>
      </c>
      <c r="D97">
        <v>1</v>
      </c>
      <c r="E97">
        <v>0</v>
      </c>
      <c r="F97">
        <v>0</v>
      </c>
      <c r="G97">
        <v>0</v>
      </c>
      <c r="H97">
        <v>1</v>
      </c>
      <c r="I97">
        <v>0</v>
      </c>
    </row>
    <row r="99" spans="1:9">
      <c r="B99">
        <f t="shared" ref="B99:I99" si="0">SUM(B4:B98)</f>
        <v>91</v>
      </c>
      <c r="C99">
        <f t="shared" si="0"/>
        <v>4</v>
      </c>
      <c r="D99">
        <f t="shared" si="0"/>
        <v>34</v>
      </c>
      <c r="E99">
        <f t="shared" si="0"/>
        <v>32</v>
      </c>
      <c r="F99">
        <f t="shared" si="0"/>
        <v>14</v>
      </c>
      <c r="G99">
        <f t="shared" si="0"/>
        <v>8</v>
      </c>
      <c r="H99">
        <f t="shared" si="0"/>
        <v>12</v>
      </c>
      <c r="I99">
        <f t="shared" si="0"/>
        <v>3</v>
      </c>
    </row>
  </sheetData>
  <sortState ref="M74:N216">
    <sortCondition ref="N74:N216"/>
  </sortState>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dimension ref="A1:B11"/>
  <sheetViews>
    <sheetView workbookViewId="0"/>
  </sheetViews>
  <sheetFormatPr defaultRowHeight="14.4"/>
  <cols>
    <col min="1" max="1" width="18.33203125" customWidth="1"/>
    <col min="2" max="2" width="112.5546875" customWidth="1"/>
  </cols>
  <sheetData>
    <row r="1" spans="1:2">
      <c r="A1" s="3" t="s">
        <v>1201</v>
      </c>
    </row>
    <row r="3" spans="1:2" s="45" customFormat="1" ht="43.2">
      <c r="A3" s="45" t="s">
        <v>974</v>
      </c>
      <c r="B3" s="46" t="s">
        <v>573</v>
      </c>
    </row>
    <row r="4" spans="1:2" s="45" customFormat="1" ht="28.8">
      <c r="A4" s="45" t="s">
        <v>974</v>
      </c>
      <c r="B4" s="46" t="s">
        <v>593</v>
      </c>
    </row>
    <row r="5" spans="1:2" s="45" customFormat="1" ht="72">
      <c r="A5" s="45" t="s">
        <v>972</v>
      </c>
      <c r="B5" s="46" t="s">
        <v>580</v>
      </c>
    </row>
    <row r="6" spans="1:2" s="45" customFormat="1" ht="43.2">
      <c r="A6" s="45" t="s">
        <v>972</v>
      </c>
      <c r="B6" s="46" t="s">
        <v>613</v>
      </c>
    </row>
    <row r="7" spans="1:2" s="45" customFormat="1">
      <c r="A7" s="45" t="s">
        <v>972</v>
      </c>
      <c r="B7" s="46" t="s">
        <v>533</v>
      </c>
    </row>
    <row r="8" spans="1:2" s="45" customFormat="1" ht="43.2">
      <c r="A8" s="45" t="s">
        <v>972</v>
      </c>
      <c r="B8" s="46" t="s">
        <v>634</v>
      </c>
    </row>
    <row r="9" spans="1:2" s="45" customFormat="1" ht="57.6">
      <c r="A9" s="45" t="s">
        <v>972</v>
      </c>
      <c r="B9" s="46" t="s">
        <v>525</v>
      </c>
    </row>
    <row r="10" spans="1:2" s="45" customFormat="1" ht="28.8">
      <c r="A10" s="45" t="s">
        <v>972</v>
      </c>
      <c r="B10" s="46" t="s">
        <v>630</v>
      </c>
    </row>
    <row r="11" spans="1:2" s="45" customFormat="1" ht="86.4">
      <c r="A11" s="45" t="s">
        <v>954</v>
      </c>
      <c r="B11" s="46" t="s">
        <v>624</v>
      </c>
    </row>
  </sheetData>
  <sortState ref="A3:B11">
    <sortCondition ref="A3:A11"/>
  </sortState>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B36"/>
  <sheetViews>
    <sheetView workbookViewId="0"/>
  </sheetViews>
  <sheetFormatPr defaultRowHeight="14.4"/>
  <cols>
    <col min="1" max="1" width="19.109375" customWidth="1"/>
    <col min="2" max="2" width="102.5546875" customWidth="1"/>
  </cols>
  <sheetData>
    <row r="1" spans="1:2">
      <c r="A1" s="3" t="s">
        <v>1202</v>
      </c>
    </row>
    <row r="3" spans="1:2" ht="144">
      <c r="A3" s="45" t="s">
        <v>974</v>
      </c>
      <c r="B3" s="46" t="s">
        <v>538</v>
      </c>
    </row>
    <row r="4" spans="1:2" ht="28.8">
      <c r="A4" s="45" t="s">
        <v>974</v>
      </c>
      <c r="B4" s="46" t="s">
        <v>555</v>
      </c>
    </row>
    <row r="5" spans="1:2" ht="28.8">
      <c r="A5" s="45" t="s">
        <v>974</v>
      </c>
      <c r="B5" s="46" t="s">
        <v>569</v>
      </c>
    </row>
    <row r="6" spans="1:2">
      <c r="A6" s="45" t="s">
        <v>974</v>
      </c>
      <c r="B6" s="46" t="s">
        <v>558</v>
      </c>
    </row>
    <row r="7" spans="1:2">
      <c r="A7" s="45" t="s">
        <v>974</v>
      </c>
      <c r="B7" s="46" t="s">
        <v>541</v>
      </c>
    </row>
    <row r="8" spans="1:2" ht="100.8">
      <c r="A8" s="45" t="s">
        <v>974</v>
      </c>
      <c r="B8" s="46" t="s">
        <v>562</v>
      </c>
    </row>
    <row r="9" spans="1:2" ht="28.8">
      <c r="A9" s="45" t="s">
        <v>974</v>
      </c>
      <c r="B9" s="46" t="s">
        <v>615</v>
      </c>
    </row>
    <row r="10" spans="1:2">
      <c r="A10" s="45" t="s">
        <v>974</v>
      </c>
      <c r="B10" s="46" t="s">
        <v>574</v>
      </c>
    </row>
    <row r="11" spans="1:2">
      <c r="A11" s="45" t="s">
        <v>974</v>
      </c>
      <c r="B11" s="46" t="s">
        <v>544</v>
      </c>
    </row>
    <row r="12" spans="1:2">
      <c r="A12" s="45" t="s">
        <v>974</v>
      </c>
      <c r="B12" s="46" t="s">
        <v>641</v>
      </c>
    </row>
    <row r="13" spans="1:2" ht="57.6">
      <c r="A13" s="45" t="s">
        <v>973</v>
      </c>
      <c r="B13" s="46" t="s">
        <v>628</v>
      </c>
    </row>
    <row r="14" spans="1:2">
      <c r="A14" s="45" t="s">
        <v>973</v>
      </c>
      <c r="B14" s="46" t="s">
        <v>576</v>
      </c>
    </row>
    <row r="15" spans="1:2" ht="28.8">
      <c r="A15" s="45" t="s">
        <v>973</v>
      </c>
      <c r="B15" s="46" t="s">
        <v>514</v>
      </c>
    </row>
    <row r="16" spans="1:2">
      <c r="A16" s="45" t="s">
        <v>973</v>
      </c>
      <c r="B16" s="46" t="s">
        <v>636</v>
      </c>
    </row>
    <row r="17" spans="1:2">
      <c r="A17" s="45" t="s">
        <v>972</v>
      </c>
      <c r="B17" s="46" t="s">
        <v>536</v>
      </c>
    </row>
    <row r="18" spans="1:2" ht="144">
      <c r="A18" s="45" t="s">
        <v>972</v>
      </c>
      <c r="B18" s="46" t="s">
        <v>591</v>
      </c>
    </row>
    <row r="19" spans="1:2" ht="28.8">
      <c r="A19" s="45" t="s">
        <v>972</v>
      </c>
      <c r="B19" s="46" t="s">
        <v>530</v>
      </c>
    </row>
    <row r="20" spans="1:2">
      <c r="A20" s="45" t="s">
        <v>972</v>
      </c>
      <c r="B20" s="46" t="s">
        <v>533</v>
      </c>
    </row>
    <row r="21" spans="1:2">
      <c r="A21" s="45" t="s">
        <v>972</v>
      </c>
      <c r="B21" s="46" t="s">
        <v>644</v>
      </c>
    </row>
    <row r="22" spans="1:2" ht="28.8">
      <c r="A22" s="45" t="s">
        <v>972</v>
      </c>
      <c r="B22" s="46" t="s">
        <v>621</v>
      </c>
    </row>
    <row r="23" spans="1:2" ht="28.8">
      <c r="A23" s="45" t="s">
        <v>972</v>
      </c>
      <c r="B23" s="46" t="s">
        <v>599</v>
      </c>
    </row>
    <row r="24" spans="1:2" ht="28.8">
      <c r="A24" s="45" t="s">
        <v>972</v>
      </c>
      <c r="B24" s="46" t="s">
        <v>581</v>
      </c>
    </row>
    <row r="25" spans="1:2" ht="115.2">
      <c r="A25" s="45" t="s">
        <v>972</v>
      </c>
      <c r="B25" s="46" t="s">
        <v>626</v>
      </c>
    </row>
    <row r="26" spans="1:2">
      <c r="A26" s="45" t="s">
        <v>972</v>
      </c>
      <c r="B26" s="46" t="s">
        <v>631</v>
      </c>
    </row>
    <row r="27" spans="1:2">
      <c r="A27" s="45" t="s">
        <v>972</v>
      </c>
      <c r="B27" s="46" t="s">
        <v>635</v>
      </c>
    </row>
    <row r="28" spans="1:2">
      <c r="A28" s="45" t="s">
        <v>972</v>
      </c>
      <c r="B28" s="46" t="s">
        <v>598</v>
      </c>
    </row>
    <row r="29" spans="1:2" ht="28.8">
      <c r="A29" s="45" t="s">
        <v>972</v>
      </c>
      <c r="B29" s="46" t="s">
        <v>586</v>
      </c>
    </row>
    <row r="30" spans="1:2" ht="43.2">
      <c r="A30" s="45" t="s">
        <v>972</v>
      </c>
      <c r="B30" s="46" t="s">
        <v>526</v>
      </c>
    </row>
    <row r="31" spans="1:2" ht="28.8">
      <c r="A31" s="45" t="s">
        <v>972</v>
      </c>
      <c r="B31" s="46" t="s">
        <v>549</v>
      </c>
    </row>
    <row r="32" spans="1:2" ht="43.2">
      <c r="A32" s="45" t="s">
        <v>972</v>
      </c>
      <c r="B32" s="46" t="s">
        <v>617</v>
      </c>
    </row>
    <row r="33" spans="1:2">
      <c r="A33" s="45" t="s">
        <v>972</v>
      </c>
      <c r="B33" s="46" t="s">
        <v>622</v>
      </c>
    </row>
    <row r="34" spans="1:2">
      <c r="A34" s="45" t="s">
        <v>972</v>
      </c>
      <c r="B34" s="46" t="s">
        <v>607</v>
      </c>
    </row>
    <row r="35" spans="1:2" ht="28.8">
      <c r="A35" s="45" t="s">
        <v>954</v>
      </c>
      <c r="B35" s="46" t="s">
        <v>552</v>
      </c>
    </row>
    <row r="36" spans="1:2" ht="28.8">
      <c r="A36" s="45" t="s">
        <v>954</v>
      </c>
      <c r="B36" s="46" t="s">
        <v>502</v>
      </c>
    </row>
  </sheetData>
  <sortState ref="A3:B36">
    <sortCondition ref="A3:A36"/>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148"/>
  <sheetViews>
    <sheetView workbookViewId="0"/>
  </sheetViews>
  <sheetFormatPr defaultRowHeight="14.4"/>
  <cols>
    <col min="1" max="1" width="15" customWidth="1"/>
    <col min="6" max="6" width="3.44140625" style="2" customWidth="1"/>
    <col min="7" max="7" width="13.109375" customWidth="1"/>
    <col min="18" max="18" width="24.88671875" customWidth="1"/>
  </cols>
  <sheetData>
    <row r="1" spans="1:16">
      <c r="A1" s="3" t="s">
        <v>1214</v>
      </c>
    </row>
    <row r="2" spans="1:16">
      <c r="A2" s="9" t="s">
        <v>1000</v>
      </c>
    </row>
    <row r="4" spans="1:16">
      <c r="A4" s="3" t="s">
        <v>1001</v>
      </c>
      <c r="G4" s="3" t="s">
        <v>1002</v>
      </c>
      <c r="J4" t="s">
        <v>1003</v>
      </c>
      <c r="N4" s="26">
        <v>2012</v>
      </c>
      <c r="O4" s="27"/>
      <c r="P4" s="27"/>
    </row>
    <row r="5" spans="1:16">
      <c r="A5" s="3" t="s">
        <v>1006</v>
      </c>
      <c r="B5" s="3" t="s">
        <v>1020</v>
      </c>
      <c r="D5" t="s">
        <v>999</v>
      </c>
      <c r="G5" s="3" t="s">
        <v>1006</v>
      </c>
      <c r="H5" s="3" t="s">
        <v>1021</v>
      </c>
      <c r="N5" s="27"/>
      <c r="O5" s="27"/>
      <c r="P5" s="27"/>
    </row>
    <row r="6" spans="1:16">
      <c r="A6" t="s">
        <v>973</v>
      </c>
      <c r="B6" t="s">
        <v>488</v>
      </c>
      <c r="D6" t="s">
        <v>1004</v>
      </c>
      <c r="E6">
        <v>141</v>
      </c>
      <c r="G6" t="s">
        <v>972</v>
      </c>
      <c r="H6" t="s">
        <v>488</v>
      </c>
      <c r="J6" t="s">
        <v>1004</v>
      </c>
      <c r="K6">
        <v>129</v>
      </c>
      <c r="L6" s="25">
        <v>0.91</v>
      </c>
      <c r="N6" s="28" t="s">
        <v>1004</v>
      </c>
      <c r="O6" s="27">
        <v>124</v>
      </c>
      <c r="P6" s="29">
        <v>0.88</v>
      </c>
    </row>
    <row r="7" spans="1:16">
      <c r="A7" t="s">
        <v>972</v>
      </c>
      <c r="B7" t="s">
        <v>488</v>
      </c>
      <c r="D7" t="s">
        <v>1005</v>
      </c>
      <c r="E7">
        <v>2</v>
      </c>
      <c r="G7" t="s">
        <v>972</v>
      </c>
      <c r="H7" t="s">
        <v>488</v>
      </c>
      <c r="J7" t="s">
        <v>1005</v>
      </c>
      <c r="K7">
        <v>12</v>
      </c>
      <c r="L7" s="25">
        <v>0.09</v>
      </c>
      <c r="N7" s="28" t="s">
        <v>1005</v>
      </c>
      <c r="O7" s="27">
        <v>17</v>
      </c>
      <c r="P7" s="29">
        <v>0.12</v>
      </c>
    </row>
    <row r="8" spans="1:16">
      <c r="A8" t="s">
        <v>974</v>
      </c>
      <c r="B8" t="s">
        <v>487</v>
      </c>
      <c r="G8" t="s">
        <v>972</v>
      </c>
      <c r="H8" t="s">
        <v>488</v>
      </c>
      <c r="K8">
        <f>SUM(K6:K7)</f>
        <v>141</v>
      </c>
      <c r="N8" s="27"/>
      <c r="O8" s="27">
        <f>SUM(O6:O7)</f>
        <v>141</v>
      </c>
      <c r="P8" s="27"/>
    </row>
    <row r="9" spans="1:16">
      <c r="A9" t="s">
        <v>974</v>
      </c>
      <c r="B9" t="s">
        <v>487</v>
      </c>
      <c r="G9" t="s">
        <v>972</v>
      </c>
      <c r="H9" t="s">
        <v>488</v>
      </c>
    </row>
    <row r="10" spans="1:16">
      <c r="A10" t="s">
        <v>974</v>
      </c>
      <c r="B10" t="s">
        <v>487</v>
      </c>
      <c r="G10" t="s">
        <v>972</v>
      </c>
      <c r="H10" t="s">
        <v>488</v>
      </c>
    </row>
    <row r="11" spans="1:16">
      <c r="A11" t="s">
        <v>974</v>
      </c>
      <c r="B11" t="s">
        <v>487</v>
      </c>
      <c r="G11" t="s">
        <v>972</v>
      </c>
      <c r="H11" t="s">
        <v>488</v>
      </c>
    </row>
    <row r="12" spans="1:16">
      <c r="A12" t="s">
        <v>974</v>
      </c>
      <c r="B12" t="s">
        <v>487</v>
      </c>
      <c r="G12" t="s">
        <v>972</v>
      </c>
      <c r="H12" t="s">
        <v>488</v>
      </c>
    </row>
    <row r="13" spans="1:16">
      <c r="A13" t="s">
        <v>974</v>
      </c>
      <c r="B13" t="s">
        <v>487</v>
      </c>
      <c r="G13" t="s">
        <v>972</v>
      </c>
      <c r="H13" t="s">
        <v>488</v>
      </c>
    </row>
    <row r="14" spans="1:16">
      <c r="A14" t="s">
        <v>974</v>
      </c>
      <c r="B14" t="s">
        <v>487</v>
      </c>
      <c r="G14" t="s">
        <v>972</v>
      </c>
      <c r="H14" t="s">
        <v>488</v>
      </c>
    </row>
    <row r="15" spans="1:16">
      <c r="A15" t="s">
        <v>974</v>
      </c>
      <c r="B15" t="s">
        <v>487</v>
      </c>
      <c r="G15" t="s">
        <v>972</v>
      </c>
      <c r="H15" t="s">
        <v>488</v>
      </c>
    </row>
    <row r="16" spans="1:16">
      <c r="A16" t="s">
        <v>974</v>
      </c>
      <c r="B16" t="s">
        <v>487</v>
      </c>
      <c r="G16" t="s">
        <v>972</v>
      </c>
      <c r="H16" t="s">
        <v>488</v>
      </c>
    </row>
    <row r="17" spans="1:8">
      <c r="A17" t="s">
        <v>974</v>
      </c>
      <c r="B17" t="s">
        <v>487</v>
      </c>
      <c r="G17" t="s">
        <v>972</v>
      </c>
      <c r="H17" t="s">
        <v>488</v>
      </c>
    </row>
    <row r="18" spans="1:8">
      <c r="A18" t="s">
        <v>974</v>
      </c>
      <c r="B18" t="s">
        <v>487</v>
      </c>
      <c r="G18" t="s">
        <v>974</v>
      </c>
      <c r="H18" t="s">
        <v>487</v>
      </c>
    </row>
    <row r="19" spans="1:8">
      <c r="A19" t="s">
        <v>974</v>
      </c>
      <c r="B19" t="s">
        <v>487</v>
      </c>
      <c r="G19" t="s">
        <v>974</v>
      </c>
      <c r="H19" t="s">
        <v>487</v>
      </c>
    </row>
    <row r="20" spans="1:8">
      <c r="A20" t="s">
        <v>974</v>
      </c>
      <c r="B20" t="s">
        <v>487</v>
      </c>
      <c r="G20" t="s">
        <v>974</v>
      </c>
      <c r="H20" t="s">
        <v>487</v>
      </c>
    </row>
    <row r="21" spans="1:8">
      <c r="A21" t="s">
        <v>974</v>
      </c>
      <c r="B21" t="s">
        <v>487</v>
      </c>
      <c r="G21" t="s">
        <v>974</v>
      </c>
      <c r="H21" t="s">
        <v>487</v>
      </c>
    </row>
    <row r="22" spans="1:8">
      <c r="A22" t="s">
        <v>974</v>
      </c>
      <c r="B22" t="s">
        <v>487</v>
      </c>
      <c r="G22" t="s">
        <v>974</v>
      </c>
      <c r="H22" t="s">
        <v>487</v>
      </c>
    </row>
    <row r="23" spans="1:8">
      <c r="A23" t="s">
        <v>974</v>
      </c>
      <c r="B23" t="s">
        <v>487</v>
      </c>
      <c r="G23" t="s">
        <v>974</v>
      </c>
      <c r="H23" t="s">
        <v>487</v>
      </c>
    </row>
    <row r="24" spans="1:8">
      <c r="A24" t="s">
        <v>974</v>
      </c>
      <c r="B24" t="s">
        <v>487</v>
      </c>
      <c r="G24" t="s">
        <v>974</v>
      </c>
      <c r="H24" t="s">
        <v>487</v>
      </c>
    </row>
    <row r="25" spans="1:8">
      <c r="A25" t="s">
        <v>974</v>
      </c>
      <c r="B25" t="s">
        <v>487</v>
      </c>
      <c r="G25" t="s">
        <v>974</v>
      </c>
      <c r="H25" t="s">
        <v>487</v>
      </c>
    </row>
    <row r="26" spans="1:8">
      <c r="A26" t="s">
        <v>974</v>
      </c>
      <c r="B26" t="s">
        <v>487</v>
      </c>
      <c r="G26" t="s">
        <v>974</v>
      </c>
      <c r="H26" t="s">
        <v>487</v>
      </c>
    </row>
    <row r="27" spans="1:8">
      <c r="A27" t="s">
        <v>974</v>
      </c>
      <c r="B27" t="s">
        <v>487</v>
      </c>
      <c r="G27" t="s">
        <v>974</v>
      </c>
      <c r="H27" t="s">
        <v>487</v>
      </c>
    </row>
    <row r="28" spans="1:8">
      <c r="A28" t="s">
        <v>974</v>
      </c>
      <c r="B28" t="s">
        <v>487</v>
      </c>
      <c r="G28" t="s">
        <v>974</v>
      </c>
      <c r="H28" t="s">
        <v>487</v>
      </c>
    </row>
    <row r="29" spans="1:8">
      <c r="A29" t="s">
        <v>974</v>
      </c>
      <c r="B29" t="s">
        <v>487</v>
      </c>
      <c r="G29" t="s">
        <v>974</v>
      </c>
      <c r="H29" t="s">
        <v>487</v>
      </c>
    </row>
    <row r="30" spans="1:8">
      <c r="A30" t="s">
        <v>974</v>
      </c>
      <c r="B30" t="s">
        <v>487</v>
      </c>
      <c r="G30" t="s">
        <v>974</v>
      </c>
      <c r="H30" t="s">
        <v>487</v>
      </c>
    </row>
    <row r="31" spans="1:8">
      <c r="A31" t="s">
        <v>974</v>
      </c>
      <c r="B31" t="s">
        <v>487</v>
      </c>
      <c r="G31" t="s">
        <v>974</v>
      </c>
      <c r="H31" t="s">
        <v>487</v>
      </c>
    </row>
    <row r="32" spans="1:8">
      <c r="A32" t="s">
        <v>974</v>
      </c>
      <c r="B32" t="s">
        <v>487</v>
      </c>
      <c r="G32" t="s">
        <v>974</v>
      </c>
      <c r="H32" t="s">
        <v>487</v>
      </c>
    </row>
    <row r="33" spans="1:8">
      <c r="A33" t="s">
        <v>974</v>
      </c>
      <c r="B33" t="s">
        <v>487</v>
      </c>
      <c r="G33" t="s">
        <v>974</v>
      </c>
      <c r="H33" t="s">
        <v>487</v>
      </c>
    </row>
    <row r="34" spans="1:8">
      <c r="A34" t="s">
        <v>974</v>
      </c>
      <c r="B34" t="s">
        <v>487</v>
      </c>
      <c r="G34" t="s">
        <v>974</v>
      </c>
      <c r="H34" t="s">
        <v>487</v>
      </c>
    </row>
    <row r="35" spans="1:8">
      <c r="A35" t="s">
        <v>974</v>
      </c>
      <c r="B35" t="s">
        <v>487</v>
      </c>
      <c r="G35" t="s">
        <v>974</v>
      </c>
      <c r="H35" t="s">
        <v>487</v>
      </c>
    </row>
    <row r="36" spans="1:8">
      <c r="A36" t="s">
        <v>974</v>
      </c>
      <c r="B36" t="s">
        <v>487</v>
      </c>
      <c r="G36" t="s">
        <v>974</v>
      </c>
      <c r="H36" t="s">
        <v>487</v>
      </c>
    </row>
    <row r="37" spans="1:8">
      <c r="A37" t="s">
        <v>974</v>
      </c>
      <c r="B37" t="s">
        <v>487</v>
      </c>
      <c r="G37" t="s">
        <v>974</v>
      </c>
      <c r="H37" t="s">
        <v>487</v>
      </c>
    </row>
    <row r="38" spans="1:8">
      <c r="A38" t="s">
        <v>974</v>
      </c>
      <c r="B38" t="s">
        <v>487</v>
      </c>
      <c r="G38" t="s">
        <v>974</v>
      </c>
      <c r="H38" t="s">
        <v>487</v>
      </c>
    </row>
    <row r="39" spans="1:8">
      <c r="A39" t="s">
        <v>974</v>
      </c>
      <c r="B39" t="s">
        <v>487</v>
      </c>
      <c r="G39" t="s">
        <v>974</v>
      </c>
      <c r="H39" t="s">
        <v>487</v>
      </c>
    </row>
    <row r="40" spans="1:8">
      <c r="A40" t="s">
        <v>974</v>
      </c>
      <c r="B40" t="s">
        <v>487</v>
      </c>
      <c r="G40" t="s">
        <v>974</v>
      </c>
      <c r="H40" t="s">
        <v>487</v>
      </c>
    </row>
    <row r="41" spans="1:8">
      <c r="A41" t="s">
        <v>974</v>
      </c>
      <c r="B41" t="s">
        <v>487</v>
      </c>
      <c r="G41" t="s">
        <v>974</v>
      </c>
      <c r="H41" t="s">
        <v>487</v>
      </c>
    </row>
    <row r="42" spans="1:8">
      <c r="A42" t="s">
        <v>974</v>
      </c>
      <c r="B42" t="s">
        <v>487</v>
      </c>
      <c r="G42" t="s">
        <v>974</v>
      </c>
      <c r="H42" t="s">
        <v>487</v>
      </c>
    </row>
    <row r="43" spans="1:8">
      <c r="A43" t="s">
        <v>974</v>
      </c>
      <c r="B43" t="s">
        <v>487</v>
      </c>
      <c r="G43" t="s">
        <v>974</v>
      </c>
      <c r="H43" t="s">
        <v>487</v>
      </c>
    </row>
    <row r="44" spans="1:8">
      <c r="A44" t="s">
        <v>974</v>
      </c>
      <c r="B44" t="s">
        <v>487</v>
      </c>
      <c r="G44" t="s">
        <v>974</v>
      </c>
      <c r="H44" t="s">
        <v>487</v>
      </c>
    </row>
    <row r="45" spans="1:8">
      <c r="A45" t="s">
        <v>974</v>
      </c>
      <c r="B45" t="s">
        <v>487</v>
      </c>
      <c r="G45" t="s">
        <v>974</v>
      </c>
      <c r="H45" t="s">
        <v>487</v>
      </c>
    </row>
    <row r="46" spans="1:8">
      <c r="A46" t="s">
        <v>974</v>
      </c>
      <c r="B46" t="s">
        <v>487</v>
      </c>
      <c r="G46" t="s">
        <v>974</v>
      </c>
      <c r="H46" t="s">
        <v>487</v>
      </c>
    </row>
    <row r="47" spans="1:8">
      <c r="A47" t="s">
        <v>973</v>
      </c>
      <c r="B47" t="s">
        <v>487</v>
      </c>
      <c r="G47" t="s">
        <v>974</v>
      </c>
      <c r="H47" t="s">
        <v>487</v>
      </c>
    </row>
    <row r="48" spans="1:8">
      <c r="A48" t="s">
        <v>973</v>
      </c>
      <c r="B48" t="s">
        <v>487</v>
      </c>
      <c r="G48" t="s">
        <v>974</v>
      </c>
      <c r="H48" t="s">
        <v>487</v>
      </c>
    </row>
    <row r="49" spans="1:8">
      <c r="A49" t="s">
        <v>973</v>
      </c>
      <c r="B49" t="s">
        <v>487</v>
      </c>
      <c r="G49" t="s">
        <v>974</v>
      </c>
      <c r="H49" t="s">
        <v>487</v>
      </c>
    </row>
    <row r="50" spans="1:8">
      <c r="A50" t="s">
        <v>973</v>
      </c>
      <c r="B50" t="s">
        <v>487</v>
      </c>
      <c r="G50" t="s">
        <v>974</v>
      </c>
      <c r="H50" t="s">
        <v>487</v>
      </c>
    </row>
    <row r="51" spans="1:8">
      <c r="A51" t="s">
        <v>973</v>
      </c>
      <c r="B51" t="s">
        <v>487</v>
      </c>
      <c r="G51" t="s">
        <v>974</v>
      </c>
      <c r="H51" t="s">
        <v>487</v>
      </c>
    </row>
    <row r="52" spans="1:8">
      <c r="A52" t="s">
        <v>973</v>
      </c>
      <c r="B52" t="s">
        <v>487</v>
      </c>
      <c r="G52" t="s">
        <v>974</v>
      </c>
      <c r="H52" t="s">
        <v>487</v>
      </c>
    </row>
    <row r="53" spans="1:8">
      <c r="A53" t="s">
        <v>973</v>
      </c>
      <c r="B53" t="s">
        <v>487</v>
      </c>
      <c r="G53" t="s">
        <v>974</v>
      </c>
      <c r="H53" t="s">
        <v>487</v>
      </c>
    </row>
    <row r="54" spans="1:8">
      <c r="A54" t="s">
        <v>973</v>
      </c>
      <c r="B54" t="s">
        <v>487</v>
      </c>
      <c r="G54" t="s">
        <v>974</v>
      </c>
      <c r="H54" t="s">
        <v>487</v>
      </c>
    </row>
    <row r="55" spans="1:8">
      <c r="A55" t="s">
        <v>972</v>
      </c>
      <c r="B55" t="s">
        <v>487</v>
      </c>
      <c r="G55" t="s">
        <v>974</v>
      </c>
      <c r="H55" t="s">
        <v>487</v>
      </c>
    </row>
    <row r="56" spans="1:8">
      <c r="A56" t="s">
        <v>972</v>
      </c>
      <c r="B56" t="s">
        <v>487</v>
      </c>
      <c r="G56" t="s">
        <v>974</v>
      </c>
      <c r="H56" t="s">
        <v>487</v>
      </c>
    </row>
    <row r="57" spans="1:8">
      <c r="A57" t="s">
        <v>972</v>
      </c>
      <c r="B57" t="s">
        <v>487</v>
      </c>
      <c r="G57" t="s">
        <v>973</v>
      </c>
      <c r="H57" t="s">
        <v>487</v>
      </c>
    </row>
    <row r="58" spans="1:8">
      <c r="A58" t="s">
        <v>972</v>
      </c>
      <c r="B58" t="s">
        <v>487</v>
      </c>
      <c r="G58" t="s">
        <v>973</v>
      </c>
      <c r="H58" t="s">
        <v>487</v>
      </c>
    </row>
    <row r="59" spans="1:8">
      <c r="A59" t="s">
        <v>972</v>
      </c>
      <c r="B59" t="s">
        <v>487</v>
      </c>
      <c r="G59" t="s">
        <v>973</v>
      </c>
      <c r="H59" t="s">
        <v>487</v>
      </c>
    </row>
    <row r="60" spans="1:8">
      <c r="A60" t="s">
        <v>972</v>
      </c>
      <c r="B60" t="s">
        <v>487</v>
      </c>
      <c r="G60" t="s">
        <v>973</v>
      </c>
      <c r="H60" t="s">
        <v>487</v>
      </c>
    </row>
    <row r="61" spans="1:8">
      <c r="A61" t="s">
        <v>972</v>
      </c>
      <c r="B61" t="s">
        <v>487</v>
      </c>
      <c r="G61" t="s">
        <v>973</v>
      </c>
      <c r="H61" t="s">
        <v>487</v>
      </c>
    </row>
    <row r="62" spans="1:8">
      <c r="A62" t="s">
        <v>972</v>
      </c>
      <c r="B62" t="s">
        <v>487</v>
      </c>
      <c r="G62" t="s">
        <v>973</v>
      </c>
      <c r="H62" t="s">
        <v>487</v>
      </c>
    </row>
    <row r="63" spans="1:8">
      <c r="A63" t="s">
        <v>972</v>
      </c>
      <c r="B63" t="s">
        <v>487</v>
      </c>
      <c r="G63" t="s">
        <v>973</v>
      </c>
      <c r="H63" t="s">
        <v>487</v>
      </c>
    </row>
    <row r="64" spans="1:8">
      <c r="A64" t="s">
        <v>972</v>
      </c>
      <c r="B64" t="s">
        <v>487</v>
      </c>
      <c r="G64" t="s">
        <v>973</v>
      </c>
      <c r="H64" t="s">
        <v>487</v>
      </c>
    </row>
    <row r="65" spans="1:8">
      <c r="A65" t="s">
        <v>972</v>
      </c>
      <c r="B65" t="s">
        <v>487</v>
      </c>
      <c r="G65" t="s">
        <v>972</v>
      </c>
      <c r="H65" t="s">
        <v>487</v>
      </c>
    </row>
    <row r="66" spans="1:8">
      <c r="A66" t="s">
        <v>972</v>
      </c>
      <c r="B66" t="s">
        <v>487</v>
      </c>
      <c r="G66" t="s">
        <v>972</v>
      </c>
      <c r="H66" t="s">
        <v>487</v>
      </c>
    </row>
    <row r="67" spans="1:8">
      <c r="A67" t="s">
        <v>972</v>
      </c>
      <c r="B67" t="s">
        <v>487</v>
      </c>
      <c r="G67" t="s">
        <v>972</v>
      </c>
      <c r="H67" t="s">
        <v>487</v>
      </c>
    </row>
    <row r="68" spans="1:8">
      <c r="A68" t="s">
        <v>972</v>
      </c>
      <c r="B68" t="s">
        <v>487</v>
      </c>
      <c r="G68" t="s">
        <v>972</v>
      </c>
      <c r="H68" t="s">
        <v>487</v>
      </c>
    </row>
    <row r="69" spans="1:8">
      <c r="A69" t="s">
        <v>972</v>
      </c>
      <c r="B69" t="s">
        <v>487</v>
      </c>
      <c r="G69" t="s">
        <v>972</v>
      </c>
      <c r="H69" t="s">
        <v>487</v>
      </c>
    </row>
    <row r="70" spans="1:8">
      <c r="A70" t="s">
        <v>972</v>
      </c>
      <c r="B70" t="s">
        <v>487</v>
      </c>
      <c r="G70" t="s">
        <v>972</v>
      </c>
      <c r="H70" t="s">
        <v>487</v>
      </c>
    </row>
    <row r="71" spans="1:8">
      <c r="A71" t="s">
        <v>972</v>
      </c>
      <c r="B71" t="s">
        <v>487</v>
      </c>
      <c r="G71" t="s">
        <v>972</v>
      </c>
      <c r="H71" t="s">
        <v>487</v>
      </c>
    </row>
    <row r="72" spans="1:8">
      <c r="A72" t="s">
        <v>972</v>
      </c>
      <c r="B72" t="s">
        <v>487</v>
      </c>
      <c r="G72" t="s">
        <v>972</v>
      </c>
      <c r="H72" t="s">
        <v>487</v>
      </c>
    </row>
    <row r="73" spans="1:8">
      <c r="A73" t="s">
        <v>972</v>
      </c>
      <c r="B73" t="s">
        <v>487</v>
      </c>
      <c r="G73" t="s">
        <v>972</v>
      </c>
      <c r="H73" t="s">
        <v>487</v>
      </c>
    </row>
    <row r="74" spans="1:8">
      <c r="A74" t="s">
        <v>972</v>
      </c>
      <c r="B74" t="s">
        <v>487</v>
      </c>
      <c r="G74" t="s">
        <v>972</v>
      </c>
      <c r="H74" t="s">
        <v>487</v>
      </c>
    </row>
    <row r="75" spans="1:8">
      <c r="A75" t="s">
        <v>972</v>
      </c>
      <c r="B75" t="s">
        <v>487</v>
      </c>
      <c r="G75" t="s">
        <v>972</v>
      </c>
      <c r="H75" t="s">
        <v>487</v>
      </c>
    </row>
    <row r="76" spans="1:8">
      <c r="A76" t="s">
        <v>972</v>
      </c>
      <c r="B76" t="s">
        <v>487</v>
      </c>
      <c r="G76" t="s">
        <v>972</v>
      </c>
      <c r="H76" t="s">
        <v>487</v>
      </c>
    </row>
    <row r="77" spans="1:8">
      <c r="A77" t="s">
        <v>972</v>
      </c>
      <c r="B77" t="s">
        <v>487</v>
      </c>
      <c r="G77" t="s">
        <v>972</v>
      </c>
      <c r="H77" t="s">
        <v>487</v>
      </c>
    </row>
    <row r="78" spans="1:8">
      <c r="A78" t="s">
        <v>972</v>
      </c>
      <c r="B78" t="s">
        <v>487</v>
      </c>
      <c r="G78" t="s">
        <v>972</v>
      </c>
      <c r="H78" t="s">
        <v>487</v>
      </c>
    </row>
    <row r="79" spans="1:8">
      <c r="A79" t="s">
        <v>972</v>
      </c>
      <c r="B79" t="s">
        <v>487</v>
      </c>
      <c r="G79" t="s">
        <v>972</v>
      </c>
      <c r="H79" t="s">
        <v>487</v>
      </c>
    </row>
    <row r="80" spans="1:8">
      <c r="A80" t="s">
        <v>972</v>
      </c>
      <c r="B80" t="s">
        <v>487</v>
      </c>
      <c r="G80" t="s">
        <v>972</v>
      </c>
      <c r="H80" t="s">
        <v>487</v>
      </c>
    </row>
    <row r="81" spans="1:8">
      <c r="A81" t="s">
        <v>972</v>
      </c>
      <c r="B81" t="s">
        <v>487</v>
      </c>
      <c r="G81" t="s">
        <v>972</v>
      </c>
      <c r="H81" t="s">
        <v>487</v>
      </c>
    </row>
    <row r="82" spans="1:8">
      <c r="A82" t="s">
        <v>972</v>
      </c>
      <c r="B82" t="s">
        <v>487</v>
      </c>
      <c r="G82" t="s">
        <v>972</v>
      </c>
      <c r="H82" t="s">
        <v>487</v>
      </c>
    </row>
    <row r="83" spans="1:8">
      <c r="A83" t="s">
        <v>972</v>
      </c>
      <c r="B83" t="s">
        <v>487</v>
      </c>
      <c r="G83" t="s">
        <v>972</v>
      </c>
      <c r="H83" t="s">
        <v>487</v>
      </c>
    </row>
    <row r="84" spans="1:8">
      <c r="A84" t="s">
        <v>972</v>
      </c>
      <c r="B84" t="s">
        <v>487</v>
      </c>
      <c r="G84" t="s">
        <v>972</v>
      </c>
      <c r="H84" t="s">
        <v>487</v>
      </c>
    </row>
    <row r="85" spans="1:8">
      <c r="A85" t="s">
        <v>972</v>
      </c>
      <c r="B85" t="s">
        <v>487</v>
      </c>
      <c r="G85" t="s">
        <v>972</v>
      </c>
      <c r="H85" t="s">
        <v>487</v>
      </c>
    </row>
    <row r="86" spans="1:8">
      <c r="A86" t="s">
        <v>972</v>
      </c>
      <c r="B86" t="s">
        <v>487</v>
      </c>
      <c r="G86" t="s">
        <v>972</v>
      </c>
      <c r="H86" t="s">
        <v>487</v>
      </c>
    </row>
    <row r="87" spans="1:8">
      <c r="A87" t="s">
        <v>972</v>
      </c>
      <c r="B87" t="s">
        <v>487</v>
      </c>
      <c r="G87" t="s">
        <v>972</v>
      </c>
      <c r="H87" t="s">
        <v>487</v>
      </c>
    </row>
    <row r="88" spans="1:8">
      <c r="A88" t="s">
        <v>972</v>
      </c>
      <c r="B88" t="s">
        <v>487</v>
      </c>
      <c r="G88" t="s">
        <v>972</v>
      </c>
      <c r="H88" t="s">
        <v>487</v>
      </c>
    </row>
    <row r="89" spans="1:8">
      <c r="A89" t="s">
        <v>972</v>
      </c>
      <c r="B89" t="s">
        <v>487</v>
      </c>
      <c r="G89" t="s">
        <v>972</v>
      </c>
      <c r="H89" t="s">
        <v>487</v>
      </c>
    </row>
    <row r="90" spans="1:8">
      <c r="A90" t="s">
        <v>972</v>
      </c>
      <c r="B90" t="s">
        <v>487</v>
      </c>
      <c r="G90" t="s">
        <v>972</v>
      </c>
      <c r="H90" t="s">
        <v>487</v>
      </c>
    </row>
    <row r="91" spans="1:8">
      <c r="A91" t="s">
        <v>972</v>
      </c>
      <c r="B91" t="s">
        <v>487</v>
      </c>
      <c r="G91" t="s">
        <v>972</v>
      </c>
      <c r="H91" t="s">
        <v>487</v>
      </c>
    </row>
    <row r="92" spans="1:8">
      <c r="A92" t="s">
        <v>972</v>
      </c>
      <c r="B92" t="s">
        <v>487</v>
      </c>
      <c r="G92" t="s">
        <v>972</v>
      </c>
      <c r="H92" t="s">
        <v>487</v>
      </c>
    </row>
    <row r="93" spans="1:8">
      <c r="A93" t="s">
        <v>972</v>
      </c>
      <c r="B93" t="s">
        <v>487</v>
      </c>
      <c r="G93" t="s">
        <v>972</v>
      </c>
      <c r="H93" t="s">
        <v>487</v>
      </c>
    </row>
    <row r="94" spans="1:8">
      <c r="A94" t="s">
        <v>972</v>
      </c>
      <c r="B94" t="s">
        <v>487</v>
      </c>
      <c r="G94" t="s">
        <v>972</v>
      </c>
      <c r="H94" t="s">
        <v>487</v>
      </c>
    </row>
    <row r="95" spans="1:8">
      <c r="A95" t="s">
        <v>972</v>
      </c>
      <c r="B95" t="s">
        <v>487</v>
      </c>
      <c r="G95" t="s">
        <v>972</v>
      </c>
      <c r="H95" t="s">
        <v>487</v>
      </c>
    </row>
    <row r="96" spans="1:8">
      <c r="A96" t="s">
        <v>972</v>
      </c>
      <c r="B96" t="s">
        <v>487</v>
      </c>
      <c r="G96" t="s">
        <v>972</v>
      </c>
      <c r="H96" t="s">
        <v>487</v>
      </c>
    </row>
    <row r="97" spans="1:8">
      <c r="A97" t="s">
        <v>972</v>
      </c>
      <c r="B97" t="s">
        <v>487</v>
      </c>
      <c r="G97" t="s">
        <v>972</v>
      </c>
      <c r="H97" t="s">
        <v>487</v>
      </c>
    </row>
    <row r="98" spans="1:8">
      <c r="A98" t="s">
        <v>972</v>
      </c>
      <c r="B98" t="s">
        <v>487</v>
      </c>
      <c r="G98" t="s">
        <v>972</v>
      </c>
      <c r="H98" t="s">
        <v>487</v>
      </c>
    </row>
    <row r="99" spans="1:8">
      <c r="A99" t="s">
        <v>972</v>
      </c>
      <c r="B99" t="s">
        <v>487</v>
      </c>
      <c r="G99" t="s">
        <v>972</v>
      </c>
      <c r="H99" t="s">
        <v>487</v>
      </c>
    </row>
    <row r="100" spans="1:8">
      <c r="A100" t="s">
        <v>972</v>
      </c>
      <c r="B100" t="s">
        <v>487</v>
      </c>
      <c r="G100" t="s">
        <v>972</v>
      </c>
      <c r="H100" t="s">
        <v>487</v>
      </c>
    </row>
    <row r="101" spans="1:8">
      <c r="A101" t="s">
        <v>972</v>
      </c>
      <c r="B101" t="s">
        <v>487</v>
      </c>
      <c r="G101" t="s">
        <v>972</v>
      </c>
      <c r="H101" t="s">
        <v>487</v>
      </c>
    </row>
    <row r="102" spans="1:8">
      <c r="A102" t="s">
        <v>972</v>
      </c>
      <c r="B102" t="s">
        <v>487</v>
      </c>
      <c r="G102" t="s">
        <v>972</v>
      </c>
      <c r="H102" t="s">
        <v>487</v>
      </c>
    </row>
    <row r="103" spans="1:8">
      <c r="A103" t="s">
        <v>972</v>
      </c>
      <c r="B103" t="s">
        <v>487</v>
      </c>
      <c r="G103" t="s">
        <v>972</v>
      </c>
      <c r="H103" t="s">
        <v>487</v>
      </c>
    </row>
    <row r="104" spans="1:8">
      <c r="A104" t="s">
        <v>972</v>
      </c>
      <c r="B104" t="s">
        <v>487</v>
      </c>
      <c r="G104" t="s">
        <v>972</v>
      </c>
      <c r="H104" t="s">
        <v>487</v>
      </c>
    </row>
    <row r="105" spans="1:8">
      <c r="A105" t="s">
        <v>972</v>
      </c>
      <c r="B105" t="s">
        <v>487</v>
      </c>
      <c r="G105" t="s">
        <v>972</v>
      </c>
      <c r="H105" t="s">
        <v>487</v>
      </c>
    </row>
    <row r="106" spans="1:8">
      <c r="A106" t="s">
        <v>972</v>
      </c>
      <c r="B106" t="s">
        <v>487</v>
      </c>
      <c r="G106" t="s">
        <v>972</v>
      </c>
      <c r="H106" t="s">
        <v>487</v>
      </c>
    </row>
    <row r="107" spans="1:8">
      <c r="A107" t="s">
        <v>972</v>
      </c>
      <c r="B107" t="s">
        <v>487</v>
      </c>
      <c r="G107" t="s">
        <v>972</v>
      </c>
      <c r="H107" t="s">
        <v>487</v>
      </c>
    </row>
    <row r="108" spans="1:8">
      <c r="A108" t="s">
        <v>972</v>
      </c>
      <c r="B108" t="s">
        <v>487</v>
      </c>
      <c r="G108" t="s">
        <v>972</v>
      </c>
      <c r="H108" t="s">
        <v>487</v>
      </c>
    </row>
    <row r="109" spans="1:8">
      <c r="A109" t="s">
        <v>972</v>
      </c>
      <c r="B109" t="s">
        <v>487</v>
      </c>
      <c r="G109" t="s">
        <v>972</v>
      </c>
      <c r="H109" t="s">
        <v>487</v>
      </c>
    </row>
    <row r="110" spans="1:8">
      <c r="A110" t="s">
        <v>972</v>
      </c>
      <c r="B110" t="s">
        <v>487</v>
      </c>
      <c r="G110" t="s">
        <v>972</v>
      </c>
      <c r="H110" t="s">
        <v>487</v>
      </c>
    </row>
    <row r="111" spans="1:8">
      <c r="A111" t="s">
        <v>972</v>
      </c>
      <c r="B111" t="s">
        <v>487</v>
      </c>
      <c r="G111" t="s">
        <v>972</v>
      </c>
      <c r="H111" t="s">
        <v>487</v>
      </c>
    </row>
    <row r="112" spans="1:8">
      <c r="A112" t="s">
        <v>972</v>
      </c>
      <c r="B112" t="s">
        <v>487</v>
      </c>
      <c r="G112" t="s">
        <v>972</v>
      </c>
      <c r="H112" t="s">
        <v>487</v>
      </c>
    </row>
    <row r="113" spans="1:8">
      <c r="A113" t="s">
        <v>972</v>
      </c>
      <c r="B113" t="s">
        <v>487</v>
      </c>
      <c r="G113" t="s">
        <v>972</v>
      </c>
      <c r="H113" t="s">
        <v>487</v>
      </c>
    </row>
    <row r="114" spans="1:8">
      <c r="A114" t="s">
        <v>972</v>
      </c>
      <c r="B114" t="s">
        <v>487</v>
      </c>
      <c r="G114" t="s">
        <v>972</v>
      </c>
      <c r="H114" t="s">
        <v>487</v>
      </c>
    </row>
    <row r="115" spans="1:8">
      <c r="A115" t="s">
        <v>972</v>
      </c>
      <c r="B115" t="s">
        <v>487</v>
      </c>
      <c r="G115" t="s">
        <v>972</v>
      </c>
      <c r="H115" t="s">
        <v>487</v>
      </c>
    </row>
    <row r="116" spans="1:8">
      <c r="A116" t="s">
        <v>972</v>
      </c>
      <c r="B116" t="s">
        <v>487</v>
      </c>
      <c r="G116" t="s">
        <v>972</v>
      </c>
      <c r="H116" t="s">
        <v>487</v>
      </c>
    </row>
    <row r="117" spans="1:8">
      <c r="A117" t="s">
        <v>972</v>
      </c>
      <c r="B117" t="s">
        <v>487</v>
      </c>
      <c r="G117" t="s">
        <v>972</v>
      </c>
      <c r="H117" t="s">
        <v>487</v>
      </c>
    </row>
    <row r="118" spans="1:8">
      <c r="A118" t="s">
        <v>972</v>
      </c>
      <c r="B118" t="s">
        <v>487</v>
      </c>
      <c r="G118" t="s">
        <v>972</v>
      </c>
      <c r="H118" t="s">
        <v>487</v>
      </c>
    </row>
    <row r="119" spans="1:8">
      <c r="A119" t="s">
        <v>972</v>
      </c>
      <c r="B119" t="s">
        <v>487</v>
      </c>
      <c r="G119" t="s">
        <v>972</v>
      </c>
      <c r="H119" t="s">
        <v>487</v>
      </c>
    </row>
    <row r="120" spans="1:8">
      <c r="A120" t="s">
        <v>972</v>
      </c>
      <c r="B120" t="s">
        <v>487</v>
      </c>
      <c r="G120" t="s">
        <v>972</v>
      </c>
      <c r="H120" t="s">
        <v>487</v>
      </c>
    </row>
    <row r="121" spans="1:8">
      <c r="A121" t="s">
        <v>972</v>
      </c>
      <c r="B121" t="s">
        <v>487</v>
      </c>
      <c r="G121" t="s">
        <v>972</v>
      </c>
      <c r="H121" t="s">
        <v>487</v>
      </c>
    </row>
    <row r="122" spans="1:8">
      <c r="A122" t="s">
        <v>972</v>
      </c>
      <c r="B122" t="s">
        <v>487</v>
      </c>
      <c r="G122" t="s">
        <v>972</v>
      </c>
      <c r="H122" t="s">
        <v>487</v>
      </c>
    </row>
    <row r="123" spans="1:8">
      <c r="A123" t="s">
        <v>972</v>
      </c>
      <c r="B123" t="s">
        <v>487</v>
      </c>
      <c r="G123" t="s">
        <v>972</v>
      </c>
      <c r="H123" t="s">
        <v>487</v>
      </c>
    </row>
    <row r="124" spans="1:8">
      <c r="A124" t="s">
        <v>972</v>
      </c>
      <c r="B124" t="s">
        <v>487</v>
      </c>
      <c r="G124" t="s">
        <v>972</v>
      </c>
      <c r="H124" t="s">
        <v>487</v>
      </c>
    </row>
    <row r="125" spans="1:8">
      <c r="A125" t="s">
        <v>972</v>
      </c>
      <c r="B125" t="s">
        <v>487</v>
      </c>
      <c r="G125" t="s">
        <v>972</v>
      </c>
      <c r="H125" t="s">
        <v>487</v>
      </c>
    </row>
    <row r="126" spans="1:8">
      <c r="A126" t="s">
        <v>972</v>
      </c>
      <c r="B126" t="s">
        <v>487</v>
      </c>
      <c r="G126" t="s">
        <v>972</v>
      </c>
      <c r="H126" t="s">
        <v>487</v>
      </c>
    </row>
    <row r="127" spans="1:8">
      <c r="A127" t="s">
        <v>972</v>
      </c>
      <c r="B127" t="s">
        <v>487</v>
      </c>
      <c r="G127" t="s">
        <v>972</v>
      </c>
      <c r="H127" t="s">
        <v>487</v>
      </c>
    </row>
    <row r="128" spans="1:8">
      <c r="A128" t="s">
        <v>972</v>
      </c>
      <c r="B128" t="s">
        <v>487</v>
      </c>
      <c r="G128" t="s">
        <v>972</v>
      </c>
      <c r="H128" t="s">
        <v>487</v>
      </c>
    </row>
    <row r="129" spans="1:8">
      <c r="A129" t="s">
        <v>972</v>
      </c>
      <c r="B129" t="s">
        <v>487</v>
      </c>
      <c r="G129" t="s">
        <v>972</v>
      </c>
      <c r="H129" t="s">
        <v>487</v>
      </c>
    </row>
    <row r="130" spans="1:8">
      <c r="A130" t="s">
        <v>972</v>
      </c>
      <c r="B130" t="s">
        <v>487</v>
      </c>
      <c r="G130" t="s">
        <v>972</v>
      </c>
      <c r="H130" t="s">
        <v>487</v>
      </c>
    </row>
    <row r="131" spans="1:8">
      <c r="A131" t="s">
        <v>972</v>
      </c>
      <c r="B131" t="s">
        <v>487</v>
      </c>
      <c r="G131" t="s">
        <v>972</v>
      </c>
      <c r="H131" t="s">
        <v>487</v>
      </c>
    </row>
    <row r="132" spans="1:8">
      <c r="A132" t="s">
        <v>972</v>
      </c>
      <c r="B132" t="s">
        <v>487</v>
      </c>
      <c r="G132" t="s">
        <v>972</v>
      </c>
      <c r="H132" t="s">
        <v>487</v>
      </c>
    </row>
    <row r="133" spans="1:8">
      <c r="A133" t="s">
        <v>972</v>
      </c>
      <c r="B133" t="s">
        <v>487</v>
      </c>
      <c r="G133" t="s">
        <v>972</v>
      </c>
      <c r="H133" t="s">
        <v>487</v>
      </c>
    </row>
    <row r="134" spans="1:8">
      <c r="A134" t="s">
        <v>972</v>
      </c>
      <c r="B134" t="s">
        <v>487</v>
      </c>
      <c r="G134" t="s">
        <v>972</v>
      </c>
      <c r="H134" t="s">
        <v>487</v>
      </c>
    </row>
    <row r="135" spans="1:8">
      <c r="A135" t="s">
        <v>972</v>
      </c>
      <c r="B135" t="s">
        <v>487</v>
      </c>
      <c r="G135" t="s">
        <v>972</v>
      </c>
      <c r="H135" t="s">
        <v>487</v>
      </c>
    </row>
    <row r="136" spans="1:8">
      <c r="A136" t="s">
        <v>972</v>
      </c>
      <c r="B136" t="s">
        <v>487</v>
      </c>
      <c r="G136" t="s">
        <v>972</v>
      </c>
      <c r="H136" t="s">
        <v>487</v>
      </c>
    </row>
    <row r="137" spans="1:8">
      <c r="A137" t="s">
        <v>972</v>
      </c>
      <c r="B137" t="s">
        <v>487</v>
      </c>
      <c r="G137" t="s">
        <v>972</v>
      </c>
      <c r="H137" t="s">
        <v>487</v>
      </c>
    </row>
    <row r="138" spans="1:8">
      <c r="A138" t="s">
        <v>972</v>
      </c>
      <c r="B138" t="s">
        <v>487</v>
      </c>
      <c r="G138" t="s">
        <v>972</v>
      </c>
      <c r="H138" t="s">
        <v>487</v>
      </c>
    </row>
    <row r="139" spans="1:8">
      <c r="A139" t="s">
        <v>972</v>
      </c>
      <c r="B139" t="s">
        <v>487</v>
      </c>
      <c r="G139" t="s">
        <v>972</v>
      </c>
      <c r="H139" t="s">
        <v>487</v>
      </c>
    </row>
    <row r="140" spans="1:8">
      <c r="A140" t="s">
        <v>972</v>
      </c>
      <c r="B140" t="s">
        <v>487</v>
      </c>
      <c r="G140" t="s">
        <v>972</v>
      </c>
      <c r="H140" t="s">
        <v>487</v>
      </c>
    </row>
    <row r="141" spans="1:8">
      <c r="A141" t="s">
        <v>972</v>
      </c>
      <c r="B141" t="s">
        <v>487</v>
      </c>
      <c r="G141" t="s">
        <v>954</v>
      </c>
      <c r="H141" t="s">
        <v>487</v>
      </c>
    </row>
    <row r="142" spans="1:8">
      <c r="A142" t="s">
        <v>972</v>
      </c>
      <c r="B142" t="s">
        <v>487</v>
      </c>
      <c r="G142" t="s">
        <v>954</v>
      </c>
      <c r="H142" t="s">
        <v>487</v>
      </c>
    </row>
    <row r="143" spans="1:8">
      <c r="A143" t="s">
        <v>954</v>
      </c>
      <c r="B143" t="s">
        <v>487</v>
      </c>
      <c r="G143" t="s">
        <v>954</v>
      </c>
      <c r="H143" t="s">
        <v>487</v>
      </c>
    </row>
    <row r="144" spans="1:8">
      <c r="A144" t="s">
        <v>954</v>
      </c>
      <c r="B144" t="s">
        <v>487</v>
      </c>
      <c r="G144" t="s">
        <v>954</v>
      </c>
      <c r="H144" t="s">
        <v>487</v>
      </c>
    </row>
    <row r="145" spans="1:8">
      <c r="A145" t="s">
        <v>954</v>
      </c>
      <c r="B145" t="s">
        <v>487</v>
      </c>
      <c r="G145" t="s">
        <v>954</v>
      </c>
      <c r="H145" t="s">
        <v>487</v>
      </c>
    </row>
    <row r="146" spans="1:8">
      <c r="A146" t="s">
        <v>954</v>
      </c>
      <c r="B146" t="s">
        <v>487</v>
      </c>
      <c r="G146" t="s">
        <v>954</v>
      </c>
      <c r="H146" t="s">
        <v>487</v>
      </c>
    </row>
    <row r="147" spans="1:8">
      <c r="A147" t="s">
        <v>954</v>
      </c>
      <c r="B147" t="s">
        <v>487</v>
      </c>
    </row>
    <row r="148" spans="1:8">
      <c r="A148" t="s">
        <v>954</v>
      </c>
      <c r="B148" t="s">
        <v>487</v>
      </c>
    </row>
  </sheetData>
  <sortState ref="G6:H148">
    <sortCondition ref="H6:H148"/>
    <sortCondition ref="G6:G148"/>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K144"/>
  <sheetViews>
    <sheetView workbookViewId="0"/>
  </sheetViews>
  <sheetFormatPr defaultRowHeight="14.4"/>
  <cols>
    <col min="1" max="1" width="14.44140625" customWidth="1"/>
    <col min="5" max="5" width="11.88671875" customWidth="1"/>
    <col min="7" max="7" width="5.5546875" customWidth="1"/>
  </cols>
  <sheetData>
    <row r="1" spans="1:11">
      <c r="A1" s="3" t="s">
        <v>1215</v>
      </c>
    </row>
    <row r="3" spans="1:11">
      <c r="A3" s="3" t="s">
        <v>1006</v>
      </c>
      <c r="B3" s="3" t="s">
        <v>1022</v>
      </c>
    </row>
    <row r="4" spans="1:11">
      <c r="A4" t="s">
        <v>972</v>
      </c>
      <c r="B4" t="s">
        <v>519</v>
      </c>
      <c r="E4" t="s">
        <v>1027</v>
      </c>
      <c r="I4" s="26">
        <v>2012</v>
      </c>
      <c r="J4" s="27"/>
      <c r="K4" s="27"/>
    </row>
    <row r="5" spans="1:11">
      <c r="A5" t="s">
        <v>972</v>
      </c>
      <c r="B5" t="s">
        <v>519</v>
      </c>
      <c r="E5" t="s">
        <v>1004</v>
      </c>
      <c r="F5">
        <v>93</v>
      </c>
      <c r="G5" s="25">
        <v>0.68</v>
      </c>
      <c r="I5" s="35" t="s">
        <v>1024</v>
      </c>
      <c r="J5" s="27">
        <v>68</v>
      </c>
      <c r="K5" s="29">
        <v>0.6</v>
      </c>
    </row>
    <row r="6" spans="1:11">
      <c r="A6" t="s">
        <v>972</v>
      </c>
      <c r="B6" t="s">
        <v>519</v>
      </c>
      <c r="E6" t="s">
        <v>1005</v>
      </c>
      <c r="F6">
        <v>44</v>
      </c>
      <c r="G6" s="25">
        <v>0.32</v>
      </c>
      <c r="I6" s="35" t="s">
        <v>1025</v>
      </c>
      <c r="J6" s="27">
        <v>46</v>
      </c>
      <c r="K6" s="29">
        <v>0.4</v>
      </c>
    </row>
    <row r="7" spans="1:11">
      <c r="A7" t="s">
        <v>954</v>
      </c>
      <c r="B7" t="s">
        <v>519</v>
      </c>
      <c r="F7">
        <f>SUM(F5:F6)</f>
        <v>137</v>
      </c>
      <c r="I7" s="27"/>
      <c r="J7" s="27">
        <f>SUM(J5:J6)</f>
        <v>114</v>
      </c>
      <c r="K7" s="27"/>
    </row>
    <row r="8" spans="1:11">
      <c r="A8" t="s">
        <v>974</v>
      </c>
      <c r="B8" t="s">
        <v>488</v>
      </c>
      <c r="I8" s="35"/>
      <c r="J8" s="27"/>
      <c r="K8" s="27"/>
    </row>
    <row r="9" spans="1:11">
      <c r="A9" t="s">
        <v>974</v>
      </c>
      <c r="B9" t="s">
        <v>488</v>
      </c>
      <c r="E9" t="s">
        <v>1023</v>
      </c>
      <c r="F9">
        <v>4</v>
      </c>
      <c r="H9" s="16"/>
      <c r="I9" s="35" t="s">
        <v>1026</v>
      </c>
      <c r="J9" s="27">
        <v>3</v>
      </c>
      <c r="K9" s="27"/>
    </row>
    <row r="10" spans="1:11">
      <c r="A10" t="s">
        <v>974</v>
      </c>
      <c r="B10" t="s">
        <v>488</v>
      </c>
    </row>
    <row r="11" spans="1:11">
      <c r="A11" t="s">
        <v>974</v>
      </c>
      <c r="B11" t="s">
        <v>488</v>
      </c>
    </row>
    <row r="12" spans="1:11">
      <c r="A12" t="s">
        <v>974</v>
      </c>
      <c r="B12" t="s">
        <v>488</v>
      </c>
    </row>
    <row r="13" spans="1:11">
      <c r="A13" t="s">
        <v>974</v>
      </c>
      <c r="B13" t="s">
        <v>488</v>
      </c>
    </row>
    <row r="14" spans="1:11">
      <c r="A14" t="s">
        <v>974</v>
      </c>
      <c r="B14" t="s">
        <v>488</v>
      </c>
    </row>
    <row r="15" spans="1:11">
      <c r="A15" t="s">
        <v>974</v>
      </c>
      <c r="B15" t="s">
        <v>488</v>
      </c>
    </row>
    <row r="16" spans="1:11">
      <c r="A16" t="s">
        <v>974</v>
      </c>
      <c r="B16" t="s">
        <v>488</v>
      </c>
    </row>
    <row r="17" spans="1:2">
      <c r="A17" t="s">
        <v>974</v>
      </c>
      <c r="B17" t="s">
        <v>488</v>
      </c>
    </row>
    <row r="18" spans="1:2">
      <c r="A18" t="s">
        <v>973</v>
      </c>
      <c r="B18" t="s">
        <v>488</v>
      </c>
    </row>
    <row r="19" spans="1:2">
      <c r="A19" t="s">
        <v>973</v>
      </c>
      <c r="B19" t="s">
        <v>488</v>
      </c>
    </row>
    <row r="20" spans="1:2">
      <c r="A20" t="s">
        <v>973</v>
      </c>
      <c r="B20" t="s">
        <v>488</v>
      </c>
    </row>
    <row r="21" spans="1:2">
      <c r="A21" t="s">
        <v>972</v>
      </c>
      <c r="B21" t="s">
        <v>488</v>
      </c>
    </row>
    <row r="22" spans="1:2">
      <c r="A22" t="s">
        <v>972</v>
      </c>
      <c r="B22" t="s">
        <v>488</v>
      </c>
    </row>
    <row r="23" spans="1:2">
      <c r="A23" t="s">
        <v>972</v>
      </c>
      <c r="B23" t="s">
        <v>488</v>
      </c>
    </row>
    <row r="24" spans="1:2">
      <c r="A24" t="s">
        <v>972</v>
      </c>
      <c r="B24" t="s">
        <v>488</v>
      </c>
    </row>
    <row r="25" spans="1:2">
      <c r="A25" t="s">
        <v>972</v>
      </c>
      <c r="B25" t="s">
        <v>488</v>
      </c>
    </row>
    <row r="26" spans="1:2">
      <c r="A26" t="s">
        <v>972</v>
      </c>
      <c r="B26" t="s">
        <v>488</v>
      </c>
    </row>
    <row r="27" spans="1:2">
      <c r="A27" t="s">
        <v>972</v>
      </c>
      <c r="B27" t="s">
        <v>488</v>
      </c>
    </row>
    <row r="28" spans="1:2">
      <c r="A28" t="s">
        <v>972</v>
      </c>
      <c r="B28" t="s">
        <v>488</v>
      </c>
    </row>
    <row r="29" spans="1:2">
      <c r="A29" t="s">
        <v>972</v>
      </c>
      <c r="B29" t="s">
        <v>488</v>
      </c>
    </row>
    <row r="30" spans="1:2">
      <c r="A30" t="s">
        <v>972</v>
      </c>
      <c r="B30" t="s">
        <v>488</v>
      </c>
    </row>
    <row r="31" spans="1:2">
      <c r="A31" t="s">
        <v>972</v>
      </c>
      <c r="B31" t="s">
        <v>488</v>
      </c>
    </row>
    <row r="32" spans="1:2">
      <c r="A32" t="s">
        <v>972</v>
      </c>
      <c r="B32" t="s">
        <v>488</v>
      </c>
    </row>
    <row r="33" spans="1:2">
      <c r="A33" t="s">
        <v>972</v>
      </c>
      <c r="B33" t="s">
        <v>488</v>
      </c>
    </row>
    <row r="34" spans="1:2">
      <c r="A34" t="s">
        <v>972</v>
      </c>
      <c r="B34" t="s">
        <v>488</v>
      </c>
    </row>
    <row r="35" spans="1:2">
      <c r="A35" t="s">
        <v>972</v>
      </c>
      <c r="B35" t="s">
        <v>488</v>
      </c>
    </row>
    <row r="36" spans="1:2">
      <c r="A36" t="s">
        <v>972</v>
      </c>
      <c r="B36" t="s">
        <v>488</v>
      </c>
    </row>
    <row r="37" spans="1:2">
      <c r="A37" t="s">
        <v>972</v>
      </c>
      <c r="B37" t="s">
        <v>488</v>
      </c>
    </row>
    <row r="38" spans="1:2">
      <c r="A38" t="s">
        <v>972</v>
      </c>
      <c r="B38" t="s">
        <v>488</v>
      </c>
    </row>
    <row r="39" spans="1:2">
      <c r="A39" t="s">
        <v>972</v>
      </c>
      <c r="B39" t="s">
        <v>488</v>
      </c>
    </row>
    <row r="40" spans="1:2">
      <c r="A40" t="s">
        <v>972</v>
      </c>
      <c r="B40" t="s">
        <v>488</v>
      </c>
    </row>
    <row r="41" spans="1:2">
      <c r="A41" t="s">
        <v>972</v>
      </c>
      <c r="B41" t="s">
        <v>488</v>
      </c>
    </row>
    <row r="42" spans="1:2">
      <c r="A42" t="s">
        <v>972</v>
      </c>
      <c r="B42" t="s">
        <v>488</v>
      </c>
    </row>
    <row r="43" spans="1:2">
      <c r="A43" t="s">
        <v>972</v>
      </c>
      <c r="B43" t="s">
        <v>488</v>
      </c>
    </row>
    <row r="44" spans="1:2">
      <c r="A44" t="s">
        <v>972</v>
      </c>
      <c r="B44" t="s">
        <v>488</v>
      </c>
    </row>
    <row r="45" spans="1:2">
      <c r="A45" t="s">
        <v>972</v>
      </c>
      <c r="B45" t="s">
        <v>488</v>
      </c>
    </row>
    <row r="46" spans="1:2">
      <c r="A46" t="s">
        <v>972</v>
      </c>
      <c r="B46" t="s">
        <v>488</v>
      </c>
    </row>
    <row r="47" spans="1:2">
      <c r="A47" t="s">
        <v>972</v>
      </c>
      <c r="B47" t="s">
        <v>488</v>
      </c>
    </row>
    <row r="48" spans="1:2">
      <c r="A48" t="s">
        <v>972</v>
      </c>
      <c r="B48" t="s">
        <v>488</v>
      </c>
    </row>
    <row r="49" spans="1:2">
      <c r="A49" t="s">
        <v>972</v>
      </c>
      <c r="B49" t="s">
        <v>488</v>
      </c>
    </row>
    <row r="50" spans="1:2">
      <c r="A50" t="s">
        <v>972</v>
      </c>
      <c r="B50" t="s">
        <v>488</v>
      </c>
    </row>
    <row r="51" spans="1:2">
      <c r="A51" t="s">
        <v>954</v>
      </c>
      <c r="B51" t="s">
        <v>488</v>
      </c>
    </row>
    <row r="52" spans="1:2">
      <c r="A52" t="s">
        <v>974</v>
      </c>
      <c r="B52" t="s">
        <v>487</v>
      </c>
    </row>
    <row r="53" spans="1:2">
      <c r="A53" t="s">
        <v>974</v>
      </c>
      <c r="B53" t="s">
        <v>487</v>
      </c>
    </row>
    <row r="54" spans="1:2">
      <c r="A54" t="s">
        <v>974</v>
      </c>
      <c r="B54" t="s">
        <v>487</v>
      </c>
    </row>
    <row r="55" spans="1:2">
      <c r="A55" t="s">
        <v>974</v>
      </c>
      <c r="B55" t="s">
        <v>487</v>
      </c>
    </row>
    <row r="56" spans="1:2">
      <c r="A56" t="s">
        <v>974</v>
      </c>
      <c r="B56" t="s">
        <v>487</v>
      </c>
    </row>
    <row r="57" spans="1:2">
      <c r="A57" t="s">
        <v>974</v>
      </c>
      <c r="B57" t="s">
        <v>487</v>
      </c>
    </row>
    <row r="58" spans="1:2">
      <c r="A58" t="s">
        <v>974</v>
      </c>
      <c r="B58" t="s">
        <v>487</v>
      </c>
    </row>
    <row r="59" spans="1:2">
      <c r="A59" t="s">
        <v>974</v>
      </c>
      <c r="B59" t="s">
        <v>487</v>
      </c>
    </row>
    <row r="60" spans="1:2">
      <c r="A60" t="s">
        <v>974</v>
      </c>
      <c r="B60" t="s">
        <v>487</v>
      </c>
    </row>
    <row r="61" spans="1:2">
      <c r="A61" t="s">
        <v>974</v>
      </c>
      <c r="B61" t="s">
        <v>487</v>
      </c>
    </row>
    <row r="62" spans="1:2">
      <c r="A62" t="s">
        <v>974</v>
      </c>
      <c r="B62" t="s">
        <v>487</v>
      </c>
    </row>
    <row r="63" spans="1:2">
      <c r="A63" t="s">
        <v>974</v>
      </c>
      <c r="B63" t="s">
        <v>487</v>
      </c>
    </row>
    <row r="64" spans="1:2">
      <c r="A64" t="s">
        <v>974</v>
      </c>
      <c r="B64" t="s">
        <v>487</v>
      </c>
    </row>
    <row r="65" spans="1:2">
      <c r="A65" t="s">
        <v>974</v>
      </c>
      <c r="B65" t="s">
        <v>487</v>
      </c>
    </row>
    <row r="66" spans="1:2">
      <c r="A66" t="s">
        <v>974</v>
      </c>
      <c r="B66" t="s">
        <v>487</v>
      </c>
    </row>
    <row r="67" spans="1:2">
      <c r="A67" t="s">
        <v>974</v>
      </c>
      <c r="B67" t="s">
        <v>487</v>
      </c>
    </row>
    <row r="68" spans="1:2">
      <c r="A68" t="s">
        <v>974</v>
      </c>
      <c r="B68" t="s">
        <v>487</v>
      </c>
    </row>
    <row r="69" spans="1:2">
      <c r="A69" t="s">
        <v>974</v>
      </c>
      <c r="B69" t="s">
        <v>487</v>
      </c>
    </row>
    <row r="70" spans="1:2">
      <c r="A70" t="s">
        <v>974</v>
      </c>
      <c r="B70" t="s">
        <v>487</v>
      </c>
    </row>
    <row r="71" spans="1:2">
      <c r="A71" t="s">
        <v>974</v>
      </c>
      <c r="B71" t="s">
        <v>487</v>
      </c>
    </row>
    <row r="72" spans="1:2">
      <c r="A72" t="s">
        <v>974</v>
      </c>
      <c r="B72" t="s">
        <v>487</v>
      </c>
    </row>
    <row r="73" spans="1:2">
      <c r="A73" t="s">
        <v>974</v>
      </c>
      <c r="B73" t="s">
        <v>487</v>
      </c>
    </row>
    <row r="74" spans="1:2">
      <c r="A74" t="s">
        <v>974</v>
      </c>
      <c r="B74" t="s">
        <v>487</v>
      </c>
    </row>
    <row r="75" spans="1:2">
      <c r="A75" t="s">
        <v>974</v>
      </c>
      <c r="B75" t="s">
        <v>487</v>
      </c>
    </row>
    <row r="76" spans="1:2">
      <c r="A76" t="s">
        <v>974</v>
      </c>
      <c r="B76" t="s">
        <v>487</v>
      </c>
    </row>
    <row r="77" spans="1:2">
      <c r="A77" t="s">
        <v>974</v>
      </c>
      <c r="B77" t="s">
        <v>487</v>
      </c>
    </row>
    <row r="78" spans="1:2">
      <c r="A78" t="s">
        <v>974</v>
      </c>
      <c r="B78" t="s">
        <v>487</v>
      </c>
    </row>
    <row r="79" spans="1:2">
      <c r="A79" t="s">
        <v>974</v>
      </c>
      <c r="B79" t="s">
        <v>487</v>
      </c>
    </row>
    <row r="80" spans="1:2">
      <c r="A80" t="s">
        <v>974</v>
      </c>
      <c r="B80" t="s">
        <v>487</v>
      </c>
    </row>
    <row r="81" spans="1:2">
      <c r="A81" t="s">
        <v>973</v>
      </c>
      <c r="B81" t="s">
        <v>487</v>
      </c>
    </row>
    <row r="82" spans="1:2">
      <c r="A82" t="s">
        <v>973</v>
      </c>
      <c r="B82" t="s">
        <v>487</v>
      </c>
    </row>
    <row r="83" spans="1:2">
      <c r="A83" t="s">
        <v>973</v>
      </c>
      <c r="B83" t="s">
        <v>487</v>
      </c>
    </row>
    <row r="84" spans="1:2">
      <c r="A84" t="s">
        <v>973</v>
      </c>
      <c r="B84" t="s">
        <v>487</v>
      </c>
    </row>
    <row r="85" spans="1:2">
      <c r="A85" t="s">
        <v>973</v>
      </c>
      <c r="B85" t="s">
        <v>487</v>
      </c>
    </row>
    <row r="86" spans="1:2">
      <c r="A86" t="s">
        <v>972</v>
      </c>
      <c r="B86" t="s">
        <v>487</v>
      </c>
    </row>
    <row r="87" spans="1:2">
      <c r="A87" t="s">
        <v>972</v>
      </c>
      <c r="B87" t="s">
        <v>487</v>
      </c>
    </row>
    <row r="88" spans="1:2">
      <c r="A88" t="s">
        <v>972</v>
      </c>
      <c r="B88" t="s">
        <v>487</v>
      </c>
    </row>
    <row r="89" spans="1:2">
      <c r="A89" t="s">
        <v>972</v>
      </c>
      <c r="B89" t="s">
        <v>487</v>
      </c>
    </row>
    <row r="90" spans="1:2">
      <c r="A90" t="s">
        <v>972</v>
      </c>
      <c r="B90" t="s">
        <v>487</v>
      </c>
    </row>
    <row r="91" spans="1:2">
      <c r="A91" t="s">
        <v>972</v>
      </c>
      <c r="B91" t="s">
        <v>487</v>
      </c>
    </row>
    <row r="92" spans="1:2">
      <c r="A92" t="s">
        <v>972</v>
      </c>
      <c r="B92" t="s">
        <v>487</v>
      </c>
    </row>
    <row r="93" spans="1:2">
      <c r="A93" t="s">
        <v>972</v>
      </c>
      <c r="B93" t="s">
        <v>487</v>
      </c>
    </row>
    <row r="94" spans="1:2">
      <c r="A94" t="s">
        <v>972</v>
      </c>
      <c r="B94" t="s">
        <v>487</v>
      </c>
    </row>
    <row r="95" spans="1:2">
      <c r="A95" t="s">
        <v>972</v>
      </c>
      <c r="B95" t="s">
        <v>487</v>
      </c>
    </row>
    <row r="96" spans="1:2">
      <c r="A96" t="s">
        <v>972</v>
      </c>
      <c r="B96" t="s">
        <v>487</v>
      </c>
    </row>
    <row r="97" spans="1:2">
      <c r="A97" t="s">
        <v>972</v>
      </c>
      <c r="B97" t="s">
        <v>487</v>
      </c>
    </row>
    <row r="98" spans="1:2">
      <c r="A98" t="s">
        <v>972</v>
      </c>
      <c r="B98" t="s">
        <v>487</v>
      </c>
    </row>
    <row r="99" spans="1:2">
      <c r="A99" t="s">
        <v>972</v>
      </c>
      <c r="B99" t="s">
        <v>487</v>
      </c>
    </row>
    <row r="100" spans="1:2">
      <c r="A100" t="s">
        <v>972</v>
      </c>
      <c r="B100" t="s">
        <v>487</v>
      </c>
    </row>
    <row r="101" spans="1:2">
      <c r="A101" t="s">
        <v>972</v>
      </c>
      <c r="B101" t="s">
        <v>487</v>
      </c>
    </row>
    <row r="102" spans="1:2">
      <c r="A102" t="s">
        <v>972</v>
      </c>
      <c r="B102" t="s">
        <v>487</v>
      </c>
    </row>
    <row r="103" spans="1:2">
      <c r="A103" t="s">
        <v>972</v>
      </c>
      <c r="B103" t="s">
        <v>487</v>
      </c>
    </row>
    <row r="104" spans="1:2">
      <c r="A104" t="s">
        <v>972</v>
      </c>
      <c r="B104" t="s">
        <v>487</v>
      </c>
    </row>
    <row r="105" spans="1:2">
      <c r="A105" t="s">
        <v>972</v>
      </c>
      <c r="B105" t="s">
        <v>487</v>
      </c>
    </row>
    <row r="106" spans="1:2">
      <c r="A106" t="s">
        <v>972</v>
      </c>
      <c r="B106" t="s">
        <v>487</v>
      </c>
    </row>
    <row r="107" spans="1:2">
      <c r="A107" t="s">
        <v>972</v>
      </c>
      <c r="B107" t="s">
        <v>487</v>
      </c>
    </row>
    <row r="108" spans="1:2">
      <c r="A108" t="s">
        <v>972</v>
      </c>
      <c r="B108" t="s">
        <v>487</v>
      </c>
    </row>
    <row r="109" spans="1:2">
      <c r="A109" t="s">
        <v>972</v>
      </c>
      <c r="B109" t="s">
        <v>487</v>
      </c>
    </row>
    <row r="110" spans="1:2">
      <c r="A110" t="s">
        <v>972</v>
      </c>
      <c r="B110" t="s">
        <v>487</v>
      </c>
    </row>
    <row r="111" spans="1:2">
      <c r="A111" t="s">
        <v>972</v>
      </c>
      <c r="B111" t="s">
        <v>487</v>
      </c>
    </row>
    <row r="112" spans="1:2">
      <c r="A112" t="s">
        <v>972</v>
      </c>
      <c r="B112" t="s">
        <v>487</v>
      </c>
    </row>
    <row r="113" spans="1:2">
      <c r="A113" t="s">
        <v>972</v>
      </c>
      <c r="B113" t="s">
        <v>487</v>
      </c>
    </row>
    <row r="114" spans="1:2">
      <c r="A114" t="s">
        <v>972</v>
      </c>
      <c r="B114" t="s">
        <v>487</v>
      </c>
    </row>
    <row r="115" spans="1:2">
      <c r="A115" t="s">
        <v>972</v>
      </c>
      <c r="B115" t="s">
        <v>487</v>
      </c>
    </row>
    <row r="116" spans="1:2">
      <c r="A116" t="s">
        <v>972</v>
      </c>
      <c r="B116" t="s">
        <v>487</v>
      </c>
    </row>
    <row r="117" spans="1:2">
      <c r="A117" t="s">
        <v>972</v>
      </c>
      <c r="B117" t="s">
        <v>487</v>
      </c>
    </row>
    <row r="118" spans="1:2">
      <c r="A118" t="s">
        <v>972</v>
      </c>
      <c r="B118" t="s">
        <v>487</v>
      </c>
    </row>
    <row r="119" spans="1:2">
      <c r="A119" t="s">
        <v>972</v>
      </c>
      <c r="B119" t="s">
        <v>487</v>
      </c>
    </row>
    <row r="120" spans="1:2">
      <c r="A120" t="s">
        <v>972</v>
      </c>
      <c r="B120" t="s">
        <v>487</v>
      </c>
    </row>
    <row r="121" spans="1:2">
      <c r="A121" t="s">
        <v>972</v>
      </c>
      <c r="B121" t="s">
        <v>487</v>
      </c>
    </row>
    <row r="122" spans="1:2">
      <c r="A122" t="s">
        <v>972</v>
      </c>
      <c r="B122" t="s">
        <v>487</v>
      </c>
    </row>
    <row r="123" spans="1:2">
      <c r="A123" t="s">
        <v>972</v>
      </c>
      <c r="B123" t="s">
        <v>487</v>
      </c>
    </row>
    <row r="124" spans="1:2">
      <c r="A124" t="s">
        <v>972</v>
      </c>
      <c r="B124" t="s">
        <v>487</v>
      </c>
    </row>
    <row r="125" spans="1:2">
      <c r="A125" t="s">
        <v>972</v>
      </c>
      <c r="B125" t="s">
        <v>487</v>
      </c>
    </row>
    <row r="126" spans="1:2">
      <c r="A126" t="s">
        <v>972</v>
      </c>
      <c r="B126" t="s">
        <v>487</v>
      </c>
    </row>
    <row r="127" spans="1:2">
      <c r="A127" t="s">
        <v>972</v>
      </c>
      <c r="B127" t="s">
        <v>487</v>
      </c>
    </row>
    <row r="128" spans="1:2">
      <c r="A128" t="s">
        <v>972</v>
      </c>
      <c r="B128" t="s">
        <v>487</v>
      </c>
    </row>
    <row r="129" spans="1:2">
      <c r="A129" t="s">
        <v>972</v>
      </c>
      <c r="B129" t="s">
        <v>487</v>
      </c>
    </row>
    <row r="130" spans="1:2">
      <c r="A130" t="s">
        <v>972</v>
      </c>
      <c r="B130" t="s">
        <v>487</v>
      </c>
    </row>
    <row r="131" spans="1:2">
      <c r="A131" t="s">
        <v>972</v>
      </c>
      <c r="B131" t="s">
        <v>487</v>
      </c>
    </row>
    <row r="132" spans="1:2">
      <c r="A132" t="s">
        <v>972</v>
      </c>
      <c r="B132" t="s">
        <v>487</v>
      </c>
    </row>
    <row r="133" spans="1:2">
      <c r="A133" t="s">
        <v>972</v>
      </c>
      <c r="B133" t="s">
        <v>487</v>
      </c>
    </row>
    <row r="134" spans="1:2">
      <c r="A134" t="s">
        <v>972</v>
      </c>
      <c r="B134" t="s">
        <v>487</v>
      </c>
    </row>
    <row r="135" spans="1:2">
      <c r="A135" t="s">
        <v>972</v>
      </c>
      <c r="B135" t="s">
        <v>487</v>
      </c>
    </row>
    <row r="136" spans="1:2">
      <c r="A136" t="s">
        <v>972</v>
      </c>
      <c r="B136" t="s">
        <v>487</v>
      </c>
    </row>
    <row r="137" spans="1:2">
      <c r="A137" t="s">
        <v>972</v>
      </c>
      <c r="B137" t="s">
        <v>487</v>
      </c>
    </row>
    <row r="138" spans="1:2">
      <c r="A138" t="s">
        <v>972</v>
      </c>
      <c r="B138" t="s">
        <v>487</v>
      </c>
    </row>
    <row r="139" spans="1:2">
      <c r="A139" t="s">
        <v>972</v>
      </c>
      <c r="B139" t="s">
        <v>487</v>
      </c>
    </row>
    <row r="140" spans="1:2">
      <c r="A140" t="s">
        <v>972</v>
      </c>
      <c r="B140" t="s">
        <v>487</v>
      </c>
    </row>
    <row r="141" spans="1:2">
      <c r="A141" t="s">
        <v>954</v>
      </c>
      <c r="B141" t="s">
        <v>487</v>
      </c>
    </row>
    <row r="142" spans="1:2">
      <c r="A142" t="s">
        <v>954</v>
      </c>
      <c r="B142" t="s">
        <v>487</v>
      </c>
    </row>
    <row r="143" spans="1:2">
      <c r="A143" t="s">
        <v>954</v>
      </c>
      <c r="B143" t="s">
        <v>487</v>
      </c>
    </row>
    <row r="144" spans="1:2">
      <c r="A144" t="s">
        <v>954</v>
      </c>
      <c r="B144" t="s">
        <v>487</v>
      </c>
    </row>
  </sheetData>
  <sortState ref="A4:B146">
    <sortCondition ref="B4:B146"/>
    <sortCondition ref="A4:A146"/>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144"/>
  <sheetViews>
    <sheetView workbookViewId="0"/>
  </sheetViews>
  <sheetFormatPr defaultRowHeight="14.4"/>
  <cols>
    <col min="1" max="1" width="14" customWidth="1"/>
    <col min="2" max="2" width="12.6640625" customWidth="1"/>
    <col min="5" max="5" width="10.109375" customWidth="1"/>
  </cols>
  <sheetData>
    <row r="1" spans="1:11">
      <c r="A1" s="3" t="s">
        <v>1029</v>
      </c>
    </row>
    <row r="3" spans="1:11">
      <c r="A3" s="1" t="s">
        <v>1006</v>
      </c>
      <c r="B3" s="1" t="s">
        <v>1028</v>
      </c>
      <c r="E3" t="s">
        <v>998</v>
      </c>
      <c r="I3" s="26">
        <v>2012</v>
      </c>
      <c r="J3" s="27"/>
      <c r="K3" s="27"/>
    </row>
    <row r="4" spans="1:11">
      <c r="A4" t="s">
        <v>974</v>
      </c>
      <c r="B4" t="s">
        <v>519</v>
      </c>
      <c r="E4" t="s">
        <v>1004</v>
      </c>
      <c r="F4">
        <v>70</v>
      </c>
      <c r="G4" s="25">
        <v>0.53</v>
      </c>
      <c r="I4" s="35" t="s">
        <v>1024</v>
      </c>
      <c r="J4" s="27">
        <v>46</v>
      </c>
      <c r="K4" s="29">
        <v>0.47</v>
      </c>
    </row>
    <row r="5" spans="1:11">
      <c r="A5" t="s">
        <v>972</v>
      </c>
      <c r="B5" t="s">
        <v>519</v>
      </c>
      <c r="E5" t="s">
        <v>1005</v>
      </c>
      <c r="F5">
        <v>63</v>
      </c>
      <c r="G5" s="25">
        <v>0.47</v>
      </c>
      <c r="I5" s="35" t="s">
        <v>1025</v>
      </c>
      <c r="J5" s="27">
        <v>52</v>
      </c>
      <c r="K5" s="29">
        <v>0.53</v>
      </c>
    </row>
    <row r="6" spans="1:11">
      <c r="A6" t="s">
        <v>972</v>
      </c>
      <c r="B6" t="s">
        <v>519</v>
      </c>
      <c r="F6">
        <f>SUM(F4:F5)</f>
        <v>133</v>
      </c>
      <c r="I6" s="27"/>
      <c r="J6" s="27">
        <f>SUM(J4:J5)</f>
        <v>98</v>
      </c>
      <c r="K6" s="27"/>
    </row>
    <row r="7" spans="1:11">
      <c r="A7" t="s">
        <v>972</v>
      </c>
      <c r="B7" t="s">
        <v>519</v>
      </c>
      <c r="I7" s="35"/>
      <c r="J7" s="27"/>
      <c r="K7" s="27"/>
    </row>
    <row r="8" spans="1:11">
      <c r="A8" t="s">
        <v>972</v>
      </c>
      <c r="B8" t="s">
        <v>519</v>
      </c>
      <c r="E8" t="s">
        <v>1023</v>
      </c>
      <c r="F8">
        <v>8</v>
      </c>
      <c r="I8" s="35" t="s">
        <v>1026</v>
      </c>
      <c r="J8" s="27">
        <v>17</v>
      </c>
      <c r="K8" s="27"/>
    </row>
    <row r="9" spans="1:11">
      <c r="A9" t="s">
        <v>972</v>
      </c>
      <c r="B9" t="s">
        <v>519</v>
      </c>
    </row>
    <row r="10" spans="1:11">
      <c r="A10" t="s">
        <v>972</v>
      </c>
      <c r="B10" t="s">
        <v>519</v>
      </c>
    </row>
    <row r="11" spans="1:11">
      <c r="A11" t="s">
        <v>954</v>
      </c>
      <c r="B11" t="s">
        <v>519</v>
      </c>
    </row>
    <row r="12" spans="1:11">
      <c r="A12" t="s">
        <v>974</v>
      </c>
      <c r="B12" t="s">
        <v>488</v>
      </c>
    </row>
    <row r="13" spans="1:11">
      <c r="A13" t="s">
        <v>974</v>
      </c>
      <c r="B13" t="s">
        <v>488</v>
      </c>
    </row>
    <row r="14" spans="1:11">
      <c r="A14" t="s">
        <v>974</v>
      </c>
      <c r="B14" t="s">
        <v>488</v>
      </c>
    </row>
    <row r="15" spans="1:11">
      <c r="A15" t="s">
        <v>974</v>
      </c>
      <c r="B15" t="s">
        <v>488</v>
      </c>
    </row>
    <row r="16" spans="1:11">
      <c r="A16" t="s">
        <v>974</v>
      </c>
      <c r="B16" t="s">
        <v>488</v>
      </c>
    </row>
    <row r="17" spans="1:2">
      <c r="A17" t="s">
        <v>974</v>
      </c>
      <c r="B17" t="s">
        <v>488</v>
      </c>
    </row>
    <row r="18" spans="1:2">
      <c r="A18" t="s">
        <v>974</v>
      </c>
      <c r="B18" t="s">
        <v>488</v>
      </c>
    </row>
    <row r="19" spans="1:2">
      <c r="A19" t="s">
        <v>974</v>
      </c>
      <c r="B19" t="s">
        <v>488</v>
      </c>
    </row>
    <row r="20" spans="1:2">
      <c r="A20" t="s">
        <v>974</v>
      </c>
      <c r="B20" t="s">
        <v>488</v>
      </c>
    </row>
    <row r="21" spans="1:2">
      <c r="A21" t="s">
        <v>974</v>
      </c>
      <c r="B21" t="s">
        <v>488</v>
      </c>
    </row>
    <row r="22" spans="1:2">
      <c r="A22" t="s">
        <v>974</v>
      </c>
      <c r="B22" t="s">
        <v>488</v>
      </c>
    </row>
    <row r="23" spans="1:2">
      <c r="A23" t="s">
        <v>973</v>
      </c>
      <c r="B23" t="s">
        <v>488</v>
      </c>
    </row>
    <row r="24" spans="1:2">
      <c r="A24" t="s">
        <v>972</v>
      </c>
      <c r="B24" t="s">
        <v>488</v>
      </c>
    </row>
    <row r="25" spans="1:2">
      <c r="A25" t="s">
        <v>972</v>
      </c>
      <c r="B25" t="s">
        <v>488</v>
      </c>
    </row>
    <row r="26" spans="1:2">
      <c r="A26" t="s">
        <v>972</v>
      </c>
      <c r="B26" t="s">
        <v>488</v>
      </c>
    </row>
    <row r="27" spans="1:2">
      <c r="A27" t="s">
        <v>972</v>
      </c>
      <c r="B27" t="s">
        <v>488</v>
      </c>
    </row>
    <row r="28" spans="1:2">
      <c r="A28" t="s">
        <v>972</v>
      </c>
      <c r="B28" t="s">
        <v>488</v>
      </c>
    </row>
    <row r="29" spans="1:2">
      <c r="A29" t="s">
        <v>972</v>
      </c>
      <c r="B29" t="s">
        <v>488</v>
      </c>
    </row>
    <row r="30" spans="1:2">
      <c r="A30" t="s">
        <v>972</v>
      </c>
      <c r="B30" t="s">
        <v>488</v>
      </c>
    </row>
    <row r="31" spans="1:2">
      <c r="A31" t="s">
        <v>972</v>
      </c>
      <c r="B31" t="s">
        <v>488</v>
      </c>
    </row>
    <row r="32" spans="1:2">
      <c r="A32" t="s">
        <v>972</v>
      </c>
      <c r="B32" t="s">
        <v>488</v>
      </c>
    </row>
    <row r="33" spans="1:2">
      <c r="A33" t="s">
        <v>972</v>
      </c>
      <c r="B33" t="s">
        <v>488</v>
      </c>
    </row>
    <row r="34" spans="1:2">
      <c r="A34" t="s">
        <v>972</v>
      </c>
      <c r="B34" t="s">
        <v>488</v>
      </c>
    </row>
    <row r="35" spans="1:2">
      <c r="A35" t="s">
        <v>972</v>
      </c>
      <c r="B35" t="s">
        <v>488</v>
      </c>
    </row>
    <row r="36" spans="1:2">
      <c r="A36" t="s">
        <v>972</v>
      </c>
      <c r="B36" t="s">
        <v>488</v>
      </c>
    </row>
    <row r="37" spans="1:2">
      <c r="A37" t="s">
        <v>972</v>
      </c>
      <c r="B37" t="s">
        <v>488</v>
      </c>
    </row>
    <row r="38" spans="1:2">
      <c r="A38" t="s">
        <v>972</v>
      </c>
      <c r="B38" t="s">
        <v>488</v>
      </c>
    </row>
    <row r="39" spans="1:2">
      <c r="A39" t="s">
        <v>972</v>
      </c>
      <c r="B39" t="s">
        <v>488</v>
      </c>
    </row>
    <row r="40" spans="1:2">
      <c r="A40" t="s">
        <v>972</v>
      </c>
      <c r="B40" t="s">
        <v>488</v>
      </c>
    </row>
    <row r="41" spans="1:2">
      <c r="A41" t="s">
        <v>972</v>
      </c>
      <c r="B41" t="s">
        <v>488</v>
      </c>
    </row>
    <row r="42" spans="1:2">
      <c r="A42" t="s">
        <v>972</v>
      </c>
      <c r="B42" t="s">
        <v>488</v>
      </c>
    </row>
    <row r="43" spans="1:2">
      <c r="A43" t="s">
        <v>972</v>
      </c>
      <c r="B43" t="s">
        <v>488</v>
      </c>
    </row>
    <row r="44" spans="1:2">
      <c r="A44" t="s">
        <v>972</v>
      </c>
      <c r="B44" t="s">
        <v>488</v>
      </c>
    </row>
    <row r="45" spans="1:2">
      <c r="A45" t="s">
        <v>972</v>
      </c>
      <c r="B45" t="s">
        <v>488</v>
      </c>
    </row>
    <row r="46" spans="1:2">
      <c r="A46" t="s">
        <v>972</v>
      </c>
      <c r="B46" t="s">
        <v>488</v>
      </c>
    </row>
    <row r="47" spans="1:2">
      <c r="A47" t="s">
        <v>972</v>
      </c>
      <c r="B47" t="s">
        <v>488</v>
      </c>
    </row>
    <row r="48" spans="1:2">
      <c r="A48" t="s">
        <v>972</v>
      </c>
      <c r="B48" t="s">
        <v>488</v>
      </c>
    </row>
    <row r="49" spans="1:2">
      <c r="A49" t="s">
        <v>972</v>
      </c>
      <c r="B49" t="s">
        <v>488</v>
      </c>
    </row>
    <row r="50" spans="1:2">
      <c r="A50" t="s">
        <v>972</v>
      </c>
      <c r="B50" t="s">
        <v>488</v>
      </c>
    </row>
    <row r="51" spans="1:2">
      <c r="A51" t="s">
        <v>972</v>
      </c>
      <c r="B51" t="s">
        <v>488</v>
      </c>
    </row>
    <row r="52" spans="1:2">
      <c r="A52" t="s">
        <v>972</v>
      </c>
      <c r="B52" t="s">
        <v>488</v>
      </c>
    </row>
    <row r="53" spans="1:2">
      <c r="A53" t="s">
        <v>972</v>
      </c>
      <c r="B53" t="s">
        <v>488</v>
      </c>
    </row>
    <row r="54" spans="1:2">
      <c r="A54" t="s">
        <v>972</v>
      </c>
      <c r="B54" t="s">
        <v>488</v>
      </c>
    </row>
    <row r="55" spans="1:2">
      <c r="A55" t="s">
        <v>972</v>
      </c>
      <c r="B55" t="s">
        <v>488</v>
      </c>
    </row>
    <row r="56" spans="1:2">
      <c r="A56" t="s">
        <v>972</v>
      </c>
      <c r="B56" t="s">
        <v>488</v>
      </c>
    </row>
    <row r="57" spans="1:2">
      <c r="A57" t="s">
        <v>972</v>
      </c>
      <c r="B57" t="s">
        <v>488</v>
      </c>
    </row>
    <row r="58" spans="1:2">
      <c r="A58" t="s">
        <v>972</v>
      </c>
      <c r="B58" t="s">
        <v>488</v>
      </c>
    </row>
    <row r="59" spans="1:2">
      <c r="A59" t="s">
        <v>972</v>
      </c>
      <c r="B59" t="s">
        <v>488</v>
      </c>
    </row>
    <row r="60" spans="1:2">
      <c r="A60" t="s">
        <v>972</v>
      </c>
      <c r="B60" t="s">
        <v>488</v>
      </c>
    </row>
    <row r="61" spans="1:2">
      <c r="A61" t="s">
        <v>972</v>
      </c>
      <c r="B61" t="s">
        <v>488</v>
      </c>
    </row>
    <row r="62" spans="1:2">
      <c r="A62" t="s">
        <v>972</v>
      </c>
      <c r="B62" t="s">
        <v>488</v>
      </c>
    </row>
    <row r="63" spans="1:2">
      <c r="A63" t="s">
        <v>972</v>
      </c>
      <c r="B63" t="s">
        <v>488</v>
      </c>
    </row>
    <row r="64" spans="1:2">
      <c r="A64" t="s">
        <v>972</v>
      </c>
      <c r="B64" t="s">
        <v>488</v>
      </c>
    </row>
    <row r="65" spans="1:2">
      <c r="A65" t="s">
        <v>972</v>
      </c>
      <c r="B65" t="s">
        <v>488</v>
      </c>
    </row>
    <row r="66" spans="1:2">
      <c r="A66" t="s">
        <v>972</v>
      </c>
      <c r="B66" t="s">
        <v>488</v>
      </c>
    </row>
    <row r="67" spans="1:2">
      <c r="A67" t="s">
        <v>972</v>
      </c>
      <c r="B67" t="s">
        <v>488</v>
      </c>
    </row>
    <row r="68" spans="1:2">
      <c r="A68" t="s">
        <v>972</v>
      </c>
      <c r="B68" t="s">
        <v>488</v>
      </c>
    </row>
    <row r="69" spans="1:2">
      <c r="A69" t="s">
        <v>972</v>
      </c>
      <c r="B69" t="s">
        <v>488</v>
      </c>
    </row>
    <row r="70" spans="1:2">
      <c r="A70" t="s">
        <v>972</v>
      </c>
      <c r="B70" t="s">
        <v>488</v>
      </c>
    </row>
    <row r="71" spans="1:2">
      <c r="A71" t="s">
        <v>972</v>
      </c>
      <c r="B71" t="s">
        <v>488</v>
      </c>
    </row>
    <row r="72" spans="1:2">
      <c r="A72" t="s">
        <v>972</v>
      </c>
      <c r="B72" t="s">
        <v>488</v>
      </c>
    </row>
    <row r="73" spans="1:2">
      <c r="A73" t="s">
        <v>972</v>
      </c>
      <c r="B73" t="s">
        <v>488</v>
      </c>
    </row>
    <row r="74" spans="1:2">
      <c r="A74" t="s">
        <v>972</v>
      </c>
      <c r="B74" t="s">
        <v>488</v>
      </c>
    </row>
    <row r="75" spans="1:2">
      <c r="A75" t="s">
        <v>974</v>
      </c>
      <c r="B75" t="s">
        <v>487</v>
      </c>
    </row>
    <row r="76" spans="1:2">
      <c r="A76" t="s">
        <v>974</v>
      </c>
      <c r="B76" t="s">
        <v>487</v>
      </c>
    </row>
    <row r="77" spans="1:2">
      <c r="A77" t="s">
        <v>974</v>
      </c>
      <c r="B77" t="s">
        <v>487</v>
      </c>
    </row>
    <row r="78" spans="1:2">
      <c r="A78" t="s">
        <v>974</v>
      </c>
      <c r="B78" t="s">
        <v>487</v>
      </c>
    </row>
    <row r="79" spans="1:2">
      <c r="A79" t="s">
        <v>974</v>
      </c>
      <c r="B79" t="s">
        <v>487</v>
      </c>
    </row>
    <row r="80" spans="1:2">
      <c r="A80" t="s">
        <v>974</v>
      </c>
      <c r="B80" t="s">
        <v>487</v>
      </c>
    </row>
    <row r="81" spans="1:2">
      <c r="A81" t="s">
        <v>974</v>
      </c>
      <c r="B81" t="s">
        <v>487</v>
      </c>
    </row>
    <row r="82" spans="1:2">
      <c r="A82" t="s">
        <v>974</v>
      </c>
      <c r="B82" t="s">
        <v>487</v>
      </c>
    </row>
    <row r="83" spans="1:2">
      <c r="A83" t="s">
        <v>974</v>
      </c>
      <c r="B83" t="s">
        <v>487</v>
      </c>
    </row>
    <row r="84" spans="1:2">
      <c r="A84" t="s">
        <v>974</v>
      </c>
      <c r="B84" t="s">
        <v>487</v>
      </c>
    </row>
    <row r="85" spans="1:2">
      <c r="A85" t="s">
        <v>974</v>
      </c>
      <c r="B85" t="s">
        <v>487</v>
      </c>
    </row>
    <row r="86" spans="1:2">
      <c r="A86" t="s">
        <v>974</v>
      </c>
      <c r="B86" t="s">
        <v>487</v>
      </c>
    </row>
    <row r="87" spans="1:2">
      <c r="A87" t="s">
        <v>974</v>
      </c>
      <c r="B87" t="s">
        <v>487</v>
      </c>
    </row>
    <row r="88" spans="1:2">
      <c r="A88" t="s">
        <v>974</v>
      </c>
      <c r="B88" t="s">
        <v>487</v>
      </c>
    </row>
    <row r="89" spans="1:2">
      <c r="A89" t="s">
        <v>974</v>
      </c>
      <c r="B89" t="s">
        <v>487</v>
      </c>
    </row>
    <row r="90" spans="1:2">
      <c r="A90" t="s">
        <v>974</v>
      </c>
      <c r="B90" t="s">
        <v>487</v>
      </c>
    </row>
    <row r="91" spans="1:2">
      <c r="A91" t="s">
        <v>974</v>
      </c>
      <c r="B91" t="s">
        <v>487</v>
      </c>
    </row>
    <row r="92" spans="1:2">
      <c r="A92" t="s">
        <v>974</v>
      </c>
      <c r="B92" t="s">
        <v>487</v>
      </c>
    </row>
    <row r="93" spans="1:2">
      <c r="A93" t="s">
        <v>974</v>
      </c>
      <c r="B93" t="s">
        <v>487</v>
      </c>
    </row>
    <row r="94" spans="1:2">
      <c r="A94" t="s">
        <v>974</v>
      </c>
      <c r="B94" t="s">
        <v>487</v>
      </c>
    </row>
    <row r="95" spans="1:2">
      <c r="A95" t="s">
        <v>974</v>
      </c>
      <c r="B95" t="s">
        <v>487</v>
      </c>
    </row>
    <row r="96" spans="1:2">
      <c r="A96" t="s">
        <v>974</v>
      </c>
      <c r="B96" t="s">
        <v>487</v>
      </c>
    </row>
    <row r="97" spans="1:2">
      <c r="A97" t="s">
        <v>974</v>
      </c>
      <c r="B97" t="s">
        <v>487</v>
      </c>
    </row>
    <row r="98" spans="1:2">
      <c r="A98" t="s">
        <v>974</v>
      </c>
      <c r="B98" t="s">
        <v>487</v>
      </c>
    </row>
    <row r="99" spans="1:2">
      <c r="A99" t="s">
        <v>974</v>
      </c>
      <c r="B99" t="s">
        <v>487</v>
      </c>
    </row>
    <row r="100" spans="1:2">
      <c r="A100" t="s">
        <v>974</v>
      </c>
      <c r="B100" t="s">
        <v>487</v>
      </c>
    </row>
    <row r="101" spans="1:2">
      <c r="A101" t="s">
        <v>974</v>
      </c>
      <c r="B101" t="s">
        <v>487</v>
      </c>
    </row>
    <row r="102" spans="1:2">
      <c r="A102" t="s">
        <v>973</v>
      </c>
      <c r="B102" t="s">
        <v>487</v>
      </c>
    </row>
    <row r="103" spans="1:2">
      <c r="A103" t="s">
        <v>973</v>
      </c>
      <c r="B103" t="s">
        <v>487</v>
      </c>
    </row>
    <row r="104" spans="1:2">
      <c r="A104" t="s">
        <v>973</v>
      </c>
      <c r="B104" t="s">
        <v>487</v>
      </c>
    </row>
    <row r="105" spans="1:2">
      <c r="A105" t="s">
        <v>973</v>
      </c>
      <c r="B105" t="s">
        <v>487</v>
      </c>
    </row>
    <row r="106" spans="1:2">
      <c r="A106" t="s">
        <v>973</v>
      </c>
      <c r="B106" t="s">
        <v>487</v>
      </c>
    </row>
    <row r="107" spans="1:2">
      <c r="A107" t="s">
        <v>973</v>
      </c>
      <c r="B107" t="s">
        <v>487</v>
      </c>
    </row>
    <row r="108" spans="1:2">
      <c r="A108" t="s">
        <v>973</v>
      </c>
      <c r="B108" t="s">
        <v>487</v>
      </c>
    </row>
    <row r="109" spans="1:2">
      <c r="A109" t="s">
        <v>972</v>
      </c>
      <c r="B109" t="s">
        <v>487</v>
      </c>
    </row>
    <row r="110" spans="1:2">
      <c r="A110" t="s">
        <v>972</v>
      </c>
      <c r="B110" t="s">
        <v>487</v>
      </c>
    </row>
    <row r="111" spans="1:2">
      <c r="A111" t="s">
        <v>972</v>
      </c>
      <c r="B111" t="s">
        <v>487</v>
      </c>
    </row>
    <row r="112" spans="1:2">
      <c r="A112" t="s">
        <v>972</v>
      </c>
      <c r="B112" t="s">
        <v>487</v>
      </c>
    </row>
    <row r="113" spans="1:2">
      <c r="A113" t="s">
        <v>972</v>
      </c>
      <c r="B113" t="s">
        <v>487</v>
      </c>
    </row>
    <row r="114" spans="1:2">
      <c r="A114" t="s">
        <v>972</v>
      </c>
      <c r="B114" t="s">
        <v>487</v>
      </c>
    </row>
    <row r="115" spans="1:2">
      <c r="A115" t="s">
        <v>972</v>
      </c>
      <c r="B115" t="s">
        <v>487</v>
      </c>
    </row>
    <row r="116" spans="1:2">
      <c r="A116" t="s">
        <v>972</v>
      </c>
      <c r="B116" t="s">
        <v>487</v>
      </c>
    </row>
    <row r="117" spans="1:2">
      <c r="A117" t="s">
        <v>972</v>
      </c>
      <c r="B117" t="s">
        <v>487</v>
      </c>
    </row>
    <row r="118" spans="1:2">
      <c r="A118" t="s">
        <v>972</v>
      </c>
      <c r="B118" t="s">
        <v>487</v>
      </c>
    </row>
    <row r="119" spans="1:2">
      <c r="A119" t="s">
        <v>972</v>
      </c>
      <c r="B119" t="s">
        <v>487</v>
      </c>
    </row>
    <row r="120" spans="1:2">
      <c r="A120" t="s">
        <v>972</v>
      </c>
      <c r="B120" t="s">
        <v>487</v>
      </c>
    </row>
    <row r="121" spans="1:2">
      <c r="A121" t="s">
        <v>972</v>
      </c>
      <c r="B121" t="s">
        <v>487</v>
      </c>
    </row>
    <row r="122" spans="1:2">
      <c r="A122" t="s">
        <v>972</v>
      </c>
      <c r="B122" t="s">
        <v>487</v>
      </c>
    </row>
    <row r="123" spans="1:2">
      <c r="A123" t="s">
        <v>972</v>
      </c>
      <c r="B123" t="s">
        <v>487</v>
      </c>
    </row>
    <row r="124" spans="1:2">
      <c r="A124" t="s">
        <v>972</v>
      </c>
      <c r="B124" t="s">
        <v>487</v>
      </c>
    </row>
    <row r="125" spans="1:2">
      <c r="A125" t="s">
        <v>972</v>
      </c>
      <c r="B125" t="s">
        <v>487</v>
      </c>
    </row>
    <row r="126" spans="1:2">
      <c r="A126" t="s">
        <v>972</v>
      </c>
      <c r="B126" t="s">
        <v>487</v>
      </c>
    </row>
    <row r="127" spans="1:2">
      <c r="A127" t="s">
        <v>972</v>
      </c>
      <c r="B127" t="s">
        <v>487</v>
      </c>
    </row>
    <row r="128" spans="1:2">
      <c r="A128" t="s">
        <v>972</v>
      </c>
      <c r="B128" t="s">
        <v>487</v>
      </c>
    </row>
    <row r="129" spans="1:2">
      <c r="A129" t="s">
        <v>972</v>
      </c>
      <c r="B129" t="s">
        <v>487</v>
      </c>
    </row>
    <row r="130" spans="1:2">
      <c r="A130" t="s">
        <v>972</v>
      </c>
      <c r="B130" t="s">
        <v>487</v>
      </c>
    </row>
    <row r="131" spans="1:2">
      <c r="A131" t="s">
        <v>972</v>
      </c>
      <c r="B131" t="s">
        <v>487</v>
      </c>
    </row>
    <row r="132" spans="1:2">
      <c r="A132" t="s">
        <v>972</v>
      </c>
      <c r="B132" t="s">
        <v>487</v>
      </c>
    </row>
    <row r="133" spans="1:2">
      <c r="A133" t="s">
        <v>972</v>
      </c>
      <c r="B133" t="s">
        <v>487</v>
      </c>
    </row>
    <row r="134" spans="1:2">
      <c r="A134" t="s">
        <v>972</v>
      </c>
      <c r="B134" t="s">
        <v>487</v>
      </c>
    </row>
    <row r="135" spans="1:2">
      <c r="A135" t="s">
        <v>972</v>
      </c>
      <c r="B135" t="s">
        <v>487</v>
      </c>
    </row>
    <row r="136" spans="1:2">
      <c r="A136" t="s">
        <v>972</v>
      </c>
      <c r="B136" t="s">
        <v>487</v>
      </c>
    </row>
    <row r="137" spans="1:2">
      <c r="A137" t="s">
        <v>972</v>
      </c>
      <c r="B137" t="s">
        <v>487</v>
      </c>
    </row>
    <row r="138" spans="1:2">
      <c r="A138" t="s">
        <v>972</v>
      </c>
      <c r="B138" t="s">
        <v>487</v>
      </c>
    </row>
    <row r="139" spans="1:2">
      <c r="A139" t="s">
        <v>972</v>
      </c>
      <c r="B139" t="s">
        <v>487</v>
      </c>
    </row>
    <row r="140" spans="1:2">
      <c r="A140" t="s">
        <v>954</v>
      </c>
      <c r="B140" t="s">
        <v>487</v>
      </c>
    </row>
    <row r="141" spans="1:2">
      <c r="A141" t="s">
        <v>954</v>
      </c>
      <c r="B141" t="s">
        <v>487</v>
      </c>
    </row>
    <row r="142" spans="1:2">
      <c r="A142" t="s">
        <v>954</v>
      </c>
      <c r="B142" t="s">
        <v>487</v>
      </c>
    </row>
    <row r="143" spans="1:2">
      <c r="A143" t="s">
        <v>954</v>
      </c>
      <c r="B143" t="s">
        <v>487</v>
      </c>
    </row>
    <row r="144" spans="1:2">
      <c r="A144" t="s">
        <v>954</v>
      </c>
      <c r="B144" t="s">
        <v>487</v>
      </c>
    </row>
  </sheetData>
  <sortState ref="A4:B146">
    <sortCondition ref="B4:B146"/>
    <sortCondition ref="A4:A146"/>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Y152"/>
  <sheetViews>
    <sheetView workbookViewId="0"/>
  </sheetViews>
  <sheetFormatPr defaultRowHeight="14.4"/>
  <cols>
    <col min="2" max="2" width="12.33203125" customWidth="1"/>
    <col min="9" max="9" width="11.109375" customWidth="1"/>
    <col min="10" max="10" width="3.44140625" style="37" customWidth="1"/>
    <col min="11" max="11" width="15.6640625" customWidth="1"/>
    <col min="24" max="24" width="32.109375" customWidth="1"/>
    <col min="25" max="25" width="10.6640625" customWidth="1"/>
  </cols>
  <sheetData>
    <row r="1" spans="1:25">
      <c r="A1" s="3" t="s">
        <v>1411</v>
      </c>
    </row>
    <row r="3" spans="1:25">
      <c r="A3" t="s">
        <v>971</v>
      </c>
      <c r="B3" t="s">
        <v>656</v>
      </c>
      <c r="C3" t="s">
        <v>657</v>
      </c>
      <c r="D3" t="s">
        <v>658</v>
      </c>
      <c r="E3" t="s">
        <v>659</v>
      </c>
      <c r="F3" t="s">
        <v>660</v>
      </c>
      <c r="G3" t="s">
        <v>661</v>
      </c>
      <c r="H3" t="s">
        <v>662</v>
      </c>
      <c r="I3" t="s">
        <v>1030</v>
      </c>
      <c r="K3" s="3" t="s">
        <v>1032</v>
      </c>
      <c r="X3" t="s">
        <v>1216</v>
      </c>
    </row>
    <row r="4" spans="1:25">
      <c r="A4" t="s">
        <v>974</v>
      </c>
      <c r="B4" t="s">
        <v>489</v>
      </c>
      <c r="C4" t="s">
        <v>489</v>
      </c>
      <c r="D4" t="s">
        <v>489</v>
      </c>
      <c r="E4" t="s">
        <v>490</v>
      </c>
      <c r="F4" t="s">
        <v>490</v>
      </c>
      <c r="G4" t="s">
        <v>490</v>
      </c>
      <c r="H4" t="s">
        <v>489</v>
      </c>
      <c r="I4" t="s">
        <v>489</v>
      </c>
      <c r="L4" t="s">
        <v>1004</v>
      </c>
      <c r="M4" t="s">
        <v>1005</v>
      </c>
      <c r="N4" t="s">
        <v>978</v>
      </c>
      <c r="X4" s="3" t="s">
        <v>1035</v>
      </c>
      <c r="Y4" s="25">
        <f>20/139</f>
        <v>0.14388489208633093</v>
      </c>
    </row>
    <row r="5" spans="1:25">
      <c r="A5" t="s">
        <v>974</v>
      </c>
      <c r="B5" t="s">
        <v>489</v>
      </c>
      <c r="C5" t="s">
        <v>489</v>
      </c>
      <c r="D5" t="s">
        <v>489</v>
      </c>
      <c r="E5" t="s">
        <v>490</v>
      </c>
      <c r="F5" t="s">
        <v>490</v>
      </c>
      <c r="G5" t="s">
        <v>490</v>
      </c>
      <c r="H5" t="s">
        <v>489</v>
      </c>
      <c r="I5" t="s">
        <v>489</v>
      </c>
      <c r="K5" t="s">
        <v>1067</v>
      </c>
      <c r="L5">
        <v>34</v>
      </c>
      <c r="M5">
        <v>4</v>
      </c>
      <c r="N5">
        <f>SUM(L5:M5)</f>
        <v>38</v>
      </c>
      <c r="X5" s="3" t="s">
        <v>1066</v>
      </c>
      <c r="Y5" s="25">
        <f>41/139</f>
        <v>0.29496402877697842</v>
      </c>
    </row>
    <row r="6" spans="1:25">
      <c r="A6" t="s">
        <v>974</v>
      </c>
      <c r="B6" t="s">
        <v>490</v>
      </c>
      <c r="C6" t="s">
        <v>489</v>
      </c>
      <c r="D6" t="s">
        <v>490</v>
      </c>
      <c r="E6" t="s">
        <v>490</v>
      </c>
      <c r="F6" t="s">
        <v>490</v>
      </c>
      <c r="G6" t="s">
        <v>490</v>
      </c>
      <c r="H6" t="s">
        <v>490</v>
      </c>
      <c r="I6" t="s">
        <v>490</v>
      </c>
      <c r="K6" t="s">
        <v>1068</v>
      </c>
      <c r="L6">
        <v>8</v>
      </c>
      <c r="M6">
        <v>0</v>
      </c>
      <c r="N6">
        <f>SUM(L6:M6)</f>
        <v>8</v>
      </c>
      <c r="X6" s="3" t="s">
        <v>1037</v>
      </c>
      <c r="Y6" s="25">
        <f>69/139</f>
        <v>0.49640287769784175</v>
      </c>
    </row>
    <row r="7" spans="1:25">
      <c r="A7" t="s">
        <v>974</v>
      </c>
      <c r="B7" t="s">
        <v>490</v>
      </c>
      <c r="C7" t="s">
        <v>489</v>
      </c>
      <c r="D7" t="s">
        <v>489</v>
      </c>
      <c r="E7" t="s">
        <v>489</v>
      </c>
      <c r="F7" t="s">
        <v>490</v>
      </c>
      <c r="G7" t="s">
        <v>490</v>
      </c>
      <c r="H7" t="s">
        <v>490</v>
      </c>
      <c r="I7" t="s">
        <v>490</v>
      </c>
      <c r="K7" t="s">
        <v>1069</v>
      </c>
      <c r="L7">
        <v>68</v>
      </c>
      <c r="M7">
        <v>19</v>
      </c>
      <c r="N7">
        <f>SUM(L7:M7)</f>
        <v>87</v>
      </c>
      <c r="X7" s="3" t="s">
        <v>1036</v>
      </c>
      <c r="Y7" s="25">
        <f>82/139</f>
        <v>0.58992805755395683</v>
      </c>
    </row>
    <row r="8" spans="1:25">
      <c r="A8" t="s">
        <v>974</v>
      </c>
      <c r="B8" t="s">
        <v>489</v>
      </c>
      <c r="C8" t="s">
        <v>489</v>
      </c>
      <c r="D8" t="s">
        <v>489</v>
      </c>
      <c r="E8" t="s">
        <v>489</v>
      </c>
      <c r="F8" t="s">
        <v>490</v>
      </c>
      <c r="G8" t="s">
        <v>490</v>
      </c>
      <c r="H8" t="s">
        <v>489</v>
      </c>
      <c r="I8" t="s">
        <v>490</v>
      </c>
      <c r="K8" t="s">
        <v>1070</v>
      </c>
      <c r="L8">
        <v>5</v>
      </c>
      <c r="M8">
        <v>1</v>
      </c>
      <c r="N8">
        <f>SUM(L8:M8)</f>
        <v>6</v>
      </c>
      <c r="X8" s="3" t="s">
        <v>1038</v>
      </c>
      <c r="Y8" s="25">
        <f>91/139</f>
        <v>0.65467625899280579</v>
      </c>
    </row>
    <row r="9" spans="1:25">
      <c r="A9" t="s">
        <v>974</v>
      </c>
      <c r="B9" t="s">
        <v>489</v>
      </c>
      <c r="C9" t="s">
        <v>489</v>
      </c>
      <c r="D9" t="s">
        <v>489</v>
      </c>
      <c r="E9" t="s">
        <v>489</v>
      </c>
      <c r="F9" t="s">
        <v>490</v>
      </c>
      <c r="G9" t="s">
        <v>489</v>
      </c>
      <c r="H9" t="s">
        <v>489</v>
      </c>
      <c r="I9" t="s">
        <v>489</v>
      </c>
      <c r="L9" s="3">
        <f>SUM(L5:L8)</f>
        <v>115</v>
      </c>
      <c r="X9" s="3" t="s">
        <v>1034</v>
      </c>
      <c r="Y9" s="25">
        <f>97/139</f>
        <v>0.69784172661870503</v>
      </c>
    </row>
    <row r="10" spans="1:25">
      <c r="A10" t="s">
        <v>974</v>
      </c>
      <c r="B10" t="s">
        <v>489</v>
      </c>
      <c r="C10" t="s">
        <v>489</v>
      </c>
      <c r="D10" t="s">
        <v>489</v>
      </c>
      <c r="E10" t="s">
        <v>490</v>
      </c>
      <c r="F10" t="s">
        <v>490</v>
      </c>
      <c r="G10" t="s">
        <v>490</v>
      </c>
      <c r="H10" t="s">
        <v>490</v>
      </c>
      <c r="I10" t="s">
        <v>490</v>
      </c>
      <c r="K10" s="3" t="s">
        <v>1033</v>
      </c>
      <c r="X10" s="3" t="s">
        <v>1032</v>
      </c>
      <c r="Y10" s="25">
        <f>115/139</f>
        <v>0.82733812949640284</v>
      </c>
    </row>
    <row r="11" spans="1:25">
      <c r="A11" t="s">
        <v>974</v>
      </c>
      <c r="B11" t="s">
        <v>489</v>
      </c>
      <c r="C11" t="s">
        <v>489</v>
      </c>
      <c r="D11" t="s">
        <v>489</v>
      </c>
      <c r="E11" t="s">
        <v>490</v>
      </c>
      <c r="F11" t="s">
        <v>490</v>
      </c>
      <c r="G11" t="s">
        <v>490</v>
      </c>
      <c r="H11" t="s">
        <v>489</v>
      </c>
      <c r="I11" t="s">
        <v>489</v>
      </c>
      <c r="L11" t="s">
        <v>1004</v>
      </c>
      <c r="M11" t="s">
        <v>1005</v>
      </c>
      <c r="N11" t="s">
        <v>978</v>
      </c>
      <c r="X11" s="3" t="s">
        <v>1033</v>
      </c>
      <c r="Y11" s="25">
        <f>130/139</f>
        <v>0.93525179856115104</v>
      </c>
    </row>
    <row r="12" spans="1:25">
      <c r="A12" t="s">
        <v>974</v>
      </c>
      <c r="B12" t="s">
        <v>489</v>
      </c>
      <c r="C12" t="s">
        <v>489</v>
      </c>
      <c r="D12" t="s">
        <v>489</v>
      </c>
      <c r="E12" t="s">
        <v>489</v>
      </c>
      <c r="F12" t="s">
        <v>489</v>
      </c>
      <c r="G12" t="s">
        <v>489</v>
      </c>
      <c r="H12" t="s">
        <v>489</v>
      </c>
      <c r="I12" t="s">
        <v>489</v>
      </c>
      <c r="K12" t="s">
        <v>1067</v>
      </c>
      <c r="L12">
        <v>38</v>
      </c>
      <c r="M12">
        <v>0</v>
      </c>
      <c r="N12">
        <f>SUM(L12:M12)</f>
        <v>38</v>
      </c>
    </row>
    <row r="13" spans="1:25">
      <c r="A13" t="s">
        <v>974</v>
      </c>
      <c r="B13" t="s">
        <v>489</v>
      </c>
      <c r="C13" t="s">
        <v>489</v>
      </c>
      <c r="D13" t="s">
        <v>489</v>
      </c>
      <c r="E13" t="s">
        <v>490</v>
      </c>
      <c r="F13" t="s">
        <v>490</v>
      </c>
      <c r="G13" t="s">
        <v>490</v>
      </c>
      <c r="H13" t="s">
        <v>490</v>
      </c>
      <c r="I13" t="s">
        <v>490</v>
      </c>
      <c r="K13" t="s">
        <v>1068</v>
      </c>
      <c r="L13">
        <v>7</v>
      </c>
      <c r="M13">
        <v>1</v>
      </c>
      <c r="N13">
        <f>SUM(L13:M13)</f>
        <v>8</v>
      </c>
    </row>
    <row r="14" spans="1:25">
      <c r="A14" t="s">
        <v>974</v>
      </c>
      <c r="B14" t="s">
        <v>489</v>
      </c>
      <c r="C14" t="s">
        <v>489</v>
      </c>
      <c r="D14" t="s">
        <v>489</v>
      </c>
      <c r="E14" t="s">
        <v>490</v>
      </c>
      <c r="F14" t="s">
        <v>490</v>
      </c>
      <c r="G14" t="s">
        <v>490</v>
      </c>
      <c r="H14" t="s">
        <v>489</v>
      </c>
      <c r="I14" t="s">
        <v>489</v>
      </c>
      <c r="K14" t="s">
        <v>1069</v>
      </c>
      <c r="L14">
        <v>79</v>
      </c>
      <c r="M14">
        <v>8</v>
      </c>
      <c r="N14">
        <f>SUM(L14:M14)</f>
        <v>87</v>
      </c>
    </row>
    <row r="15" spans="1:25">
      <c r="A15" t="s">
        <v>974</v>
      </c>
      <c r="B15" t="s">
        <v>489</v>
      </c>
      <c r="C15" t="s">
        <v>489</v>
      </c>
      <c r="D15" t="s">
        <v>489</v>
      </c>
      <c r="E15" t="s">
        <v>490</v>
      </c>
      <c r="F15" t="s">
        <v>490</v>
      </c>
      <c r="G15" t="s">
        <v>490</v>
      </c>
      <c r="H15" t="s">
        <v>489</v>
      </c>
      <c r="I15" t="s">
        <v>489</v>
      </c>
      <c r="K15" t="s">
        <v>1070</v>
      </c>
      <c r="L15">
        <v>6</v>
      </c>
      <c r="M15">
        <v>0</v>
      </c>
      <c r="N15">
        <f>SUM(L15:M15)</f>
        <v>6</v>
      </c>
    </row>
    <row r="16" spans="1:25">
      <c r="A16" t="s">
        <v>974</v>
      </c>
      <c r="B16" t="s">
        <v>489</v>
      </c>
      <c r="C16" t="s">
        <v>489</v>
      </c>
      <c r="D16" t="s">
        <v>489</v>
      </c>
      <c r="E16" t="s">
        <v>490</v>
      </c>
      <c r="F16" t="s">
        <v>490</v>
      </c>
      <c r="G16" t="s">
        <v>490</v>
      </c>
      <c r="H16" t="s">
        <v>490</v>
      </c>
      <c r="I16" t="s">
        <v>489</v>
      </c>
      <c r="L16" s="3">
        <f>SUM(L12:L15)</f>
        <v>130</v>
      </c>
    </row>
    <row r="17" spans="1:17">
      <c r="A17" t="s">
        <v>974</v>
      </c>
      <c r="B17" t="s">
        <v>489</v>
      </c>
      <c r="C17" t="s">
        <v>489</v>
      </c>
      <c r="D17" t="s">
        <v>489</v>
      </c>
      <c r="E17" t="s">
        <v>489</v>
      </c>
      <c r="F17" t="s">
        <v>490</v>
      </c>
      <c r="G17" t="s">
        <v>490</v>
      </c>
      <c r="H17" t="s">
        <v>489</v>
      </c>
      <c r="I17" t="s">
        <v>490</v>
      </c>
      <c r="K17" s="3" t="s">
        <v>1034</v>
      </c>
    </row>
    <row r="18" spans="1:17">
      <c r="A18" t="s">
        <v>974</v>
      </c>
      <c r="B18" t="s">
        <v>489</v>
      </c>
      <c r="C18" t="s">
        <v>489</v>
      </c>
      <c r="D18" t="s">
        <v>489</v>
      </c>
      <c r="E18" t="s">
        <v>490</v>
      </c>
      <c r="F18" t="s">
        <v>490</v>
      </c>
      <c r="G18" t="s">
        <v>490</v>
      </c>
      <c r="H18" t="s">
        <v>490</v>
      </c>
      <c r="I18" t="s">
        <v>490</v>
      </c>
      <c r="L18" t="s">
        <v>1004</v>
      </c>
      <c r="M18" t="s">
        <v>1005</v>
      </c>
      <c r="N18" t="s">
        <v>978</v>
      </c>
    </row>
    <row r="19" spans="1:17">
      <c r="A19" t="s">
        <v>974</v>
      </c>
      <c r="B19" t="s">
        <v>489</v>
      </c>
      <c r="C19" t="s">
        <v>489</v>
      </c>
      <c r="D19" t="s">
        <v>489</v>
      </c>
      <c r="E19" t="s">
        <v>490</v>
      </c>
      <c r="F19" t="s">
        <v>490</v>
      </c>
      <c r="G19" t="s">
        <v>490</v>
      </c>
      <c r="H19" t="s">
        <v>489</v>
      </c>
      <c r="I19" t="s">
        <v>489</v>
      </c>
      <c r="K19" t="s">
        <v>1067</v>
      </c>
      <c r="L19">
        <v>36</v>
      </c>
      <c r="M19">
        <v>2</v>
      </c>
      <c r="N19">
        <f>SUM(L19:M19)</f>
        <v>38</v>
      </c>
    </row>
    <row r="20" spans="1:17">
      <c r="A20" t="s">
        <v>974</v>
      </c>
      <c r="B20" t="s">
        <v>489</v>
      </c>
      <c r="C20" t="s">
        <v>489</v>
      </c>
      <c r="D20" t="s">
        <v>489</v>
      </c>
      <c r="E20" t="s">
        <v>490</v>
      </c>
      <c r="F20" t="s">
        <v>490</v>
      </c>
      <c r="G20" t="s">
        <v>490</v>
      </c>
      <c r="H20" t="s">
        <v>489</v>
      </c>
      <c r="I20" t="s">
        <v>489</v>
      </c>
      <c r="K20" t="s">
        <v>1068</v>
      </c>
      <c r="L20">
        <v>6</v>
      </c>
      <c r="M20">
        <v>2</v>
      </c>
      <c r="N20">
        <f>SUM(L20:M20)</f>
        <v>8</v>
      </c>
    </row>
    <row r="21" spans="1:17">
      <c r="A21" t="s">
        <v>974</v>
      </c>
      <c r="B21" t="s">
        <v>489</v>
      </c>
      <c r="C21" t="s">
        <v>489</v>
      </c>
      <c r="D21" t="s">
        <v>489</v>
      </c>
      <c r="E21" t="s">
        <v>490</v>
      </c>
      <c r="F21" t="s">
        <v>490</v>
      </c>
      <c r="G21" t="s">
        <v>490</v>
      </c>
      <c r="H21" t="s">
        <v>489</v>
      </c>
      <c r="I21" t="s">
        <v>490</v>
      </c>
      <c r="K21" t="s">
        <v>1069</v>
      </c>
      <c r="L21">
        <v>49</v>
      </c>
      <c r="M21">
        <v>38</v>
      </c>
      <c r="N21">
        <f>SUM(L21:M21)</f>
        <v>87</v>
      </c>
    </row>
    <row r="22" spans="1:17">
      <c r="A22" t="s">
        <v>974</v>
      </c>
      <c r="B22" t="s">
        <v>489</v>
      </c>
      <c r="C22" t="s">
        <v>489</v>
      </c>
      <c r="D22" t="s">
        <v>489</v>
      </c>
      <c r="E22" t="s">
        <v>489</v>
      </c>
      <c r="F22" t="s">
        <v>490</v>
      </c>
      <c r="G22" t="s">
        <v>489</v>
      </c>
      <c r="H22" t="s">
        <v>489</v>
      </c>
      <c r="I22" t="s">
        <v>489</v>
      </c>
      <c r="K22" t="s">
        <v>1070</v>
      </c>
      <c r="L22">
        <v>6</v>
      </c>
      <c r="M22">
        <v>0</v>
      </c>
      <c r="N22">
        <f>SUM(L22:M22)</f>
        <v>6</v>
      </c>
    </row>
    <row r="23" spans="1:17">
      <c r="A23" t="s">
        <v>974</v>
      </c>
      <c r="B23" t="s">
        <v>489</v>
      </c>
      <c r="C23" t="s">
        <v>489</v>
      </c>
      <c r="D23" t="s">
        <v>489</v>
      </c>
      <c r="E23" t="s">
        <v>490</v>
      </c>
      <c r="F23" t="s">
        <v>490</v>
      </c>
      <c r="G23" t="s">
        <v>490</v>
      </c>
      <c r="H23" t="s">
        <v>490</v>
      </c>
      <c r="I23" t="s">
        <v>489</v>
      </c>
      <c r="L23" s="3">
        <f>SUM(L19:L22)</f>
        <v>97</v>
      </c>
      <c r="O23" s="36"/>
      <c r="P23" s="36"/>
      <c r="Q23" s="36"/>
    </row>
    <row r="24" spans="1:17">
      <c r="A24" t="s">
        <v>974</v>
      </c>
      <c r="B24" t="s">
        <v>489</v>
      </c>
      <c r="C24" t="s">
        <v>489</v>
      </c>
      <c r="D24" t="s">
        <v>489</v>
      </c>
      <c r="E24" t="s">
        <v>490</v>
      </c>
      <c r="F24" t="s">
        <v>490</v>
      </c>
      <c r="G24" t="s">
        <v>490</v>
      </c>
      <c r="H24" t="s">
        <v>489</v>
      </c>
      <c r="I24" t="s">
        <v>489</v>
      </c>
      <c r="K24" s="3" t="s">
        <v>1038</v>
      </c>
      <c r="O24" s="36"/>
    </row>
    <row r="25" spans="1:17">
      <c r="A25" t="s">
        <v>974</v>
      </c>
      <c r="B25" t="s">
        <v>489</v>
      </c>
      <c r="C25" t="s">
        <v>489</v>
      </c>
      <c r="D25" t="s">
        <v>489</v>
      </c>
      <c r="E25" t="s">
        <v>489</v>
      </c>
      <c r="F25" t="s">
        <v>490</v>
      </c>
      <c r="G25" t="s">
        <v>489</v>
      </c>
      <c r="H25" t="s">
        <v>489</v>
      </c>
      <c r="I25" t="s">
        <v>489</v>
      </c>
      <c r="L25" t="s">
        <v>1004</v>
      </c>
      <c r="M25" t="s">
        <v>1005</v>
      </c>
      <c r="N25" t="s">
        <v>978</v>
      </c>
    </row>
    <row r="26" spans="1:17">
      <c r="A26" t="s">
        <v>974</v>
      </c>
      <c r="B26" t="s">
        <v>489</v>
      </c>
      <c r="C26" t="s">
        <v>489</v>
      </c>
      <c r="D26" t="s">
        <v>489</v>
      </c>
      <c r="E26" t="s">
        <v>490</v>
      </c>
      <c r="F26" t="s">
        <v>490</v>
      </c>
      <c r="G26" t="s">
        <v>490</v>
      </c>
      <c r="H26" t="s">
        <v>489</v>
      </c>
      <c r="I26" t="s">
        <v>489</v>
      </c>
      <c r="K26" t="s">
        <v>1067</v>
      </c>
      <c r="L26">
        <v>15</v>
      </c>
      <c r="M26">
        <v>23</v>
      </c>
      <c r="N26">
        <f>SUM(L26:M26)</f>
        <v>38</v>
      </c>
    </row>
    <row r="27" spans="1:17">
      <c r="A27" t="s">
        <v>974</v>
      </c>
      <c r="B27" t="s">
        <v>489</v>
      </c>
      <c r="C27" t="s">
        <v>489</v>
      </c>
      <c r="D27" t="s">
        <v>489</v>
      </c>
      <c r="E27" t="s">
        <v>490</v>
      </c>
      <c r="F27" t="s">
        <v>490</v>
      </c>
      <c r="G27" t="s">
        <v>490</v>
      </c>
      <c r="H27" t="s">
        <v>489</v>
      </c>
      <c r="I27" t="s">
        <v>489</v>
      </c>
      <c r="K27" t="s">
        <v>1068</v>
      </c>
      <c r="L27">
        <v>3</v>
      </c>
      <c r="M27">
        <v>5</v>
      </c>
      <c r="N27">
        <f>SUM(L27:M27)</f>
        <v>8</v>
      </c>
    </row>
    <row r="28" spans="1:17">
      <c r="A28" t="s">
        <v>974</v>
      </c>
      <c r="B28" t="s">
        <v>489</v>
      </c>
      <c r="C28" t="s">
        <v>489</v>
      </c>
      <c r="D28" t="s">
        <v>489</v>
      </c>
      <c r="E28" t="s">
        <v>490</v>
      </c>
      <c r="F28" t="s">
        <v>490</v>
      </c>
      <c r="G28" t="s">
        <v>490</v>
      </c>
      <c r="H28" t="s">
        <v>489</v>
      </c>
      <c r="I28" t="s">
        <v>490</v>
      </c>
      <c r="K28" t="s">
        <v>1069</v>
      </c>
      <c r="L28">
        <v>71</v>
      </c>
      <c r="M28">
        <v>16</v>
      </c>
      <c r="N28">
        <f>SUM(L28:M28)</f>
        <v>87</v>
      </c>
    </row>
    <row r="29" spans="1:17">
      <c r="A29" t="s">
        <v>974</v>
      </c>
      <c r="B29" t="s">
        <v>489</v>
      </c>
      <c r="C29" t="s">
        <v>489</v>
      </c>
      <c r="D29" t="s">
        <v>489</v>
      </c>
      <c r="E29" t="s">
        <v>490</v>
      </c>
      <c r="F29" t="s">
        <v>490</v>
      </c>
      <c r="G29" t="s">
        <v>490</v>
      </c>
      <c r="H29" t="s">
        <v>490</v>
      </c>
      <c r="I29" t="s">
        <v>490</v>
      </c>
      <c r="K29" t="s">
        <v>1070</v>
      </c>
      <c r="L29" s="3">
        <v>2</v>
      </c>
      <c r="M29">
        <v>4</v>
      </c>
      <c r="N29">
        <f>SUM(L29:M29)</f>
        <v>6</v>
      </c>
    </row>
    <row r="30" spans="1:17">
      <c r="A30" t="s">
        <v>974</v>
      </c>
      <c r="B30" t="s">
        <v>489</v>
      </c>
      <c r="C30" t="s">
        <v>489</v>
      </c>
      <c r="D30" t="s">
        <v>489</v>
      </c>
      <c r="E30" t="s">
        <v>489</v>
      </c>
      <c r="F30" t="s">
        <v>490</v>
      </c>
      <c r="G30" t="s">
        <v>490</v>
      </c>
      <c r="H30" t="s">
        <v>489</v>
      </c>
      <c r="I30" t="s">
        <v>490</v>
      </c>
      <c r="L30">
        <f>SUM(L26:L29)</f>
        <v>91</v>
      </c>
    </row>
    <row r="31" spans="1:17">
      <c r="A31" t="s">
        <v>974</v>
      </c>
      <c r="B31" t="s">
        <v>489</v>
      </c>
      <c r="C31" t="s">
        <v>489</v>
      </c>
      <c r="D31" t="s">
        <v>489</v>
      </c>
      <c r="E31" t="s">
        <v>489</v>
      </c>
      <c r="F31" t="s">
        <v>490</v>
      </c>
      <c r="G31" t="s">
        <v>490</v>
      </c>
      <c r="H31" t="s">
        <v>489</v>
      </c>
      <c r="I31" t="s">
        <v>490</v>
      </c>
      <c r="K31" s="3" t="s">
        <v>1035</v>
      </c>
    </row>
    <row r="32" spans="1:17">
      <c r="A32" t="s">
        <v>974</v>
      </c>
      <c r="B32" t="s">
        <v>489</v>
      </c>
      <c r="C32" t="s">
        <v>489</v>
      </c>
      <c r="D32" t="s">
        <v>489</v>
      </c>
      <c r="E32" t="s">
        <v>489</v>
      </c>
      <c r="F32" t="s">
        <v>490</v>
      </c>
      <c r="G32" t="s">
        <v>490</v>
      </c>
      <c r="H32" t="s">
        <v>489</v>
      </c>
      <c r="I32" t="s">
        <v>490</v>
      </c>
      <c r="L32" t="s">
        <v>1004</v>
      </c>
      <c r="M32" t="s">
        <v>1005</v>
      </c>
      <c r="N32" t="s">
        <v>978</v>
      </c>
    </row>
    <row r="33" spans="1:19">
      <c r="A33" t="s">
        <v>974</v>
      </c>
      <c r="B33" t="s">
        <v>489</v>
      </c>
      <c r="C33" t="s">
        <v>489</v>
      </c>
      <c r="D33" t="s">
        <v>489</v>
      </c>
      <c r="E33" t="s">
        <v>489</v>
      </c>
      <c r="F33" t="s">
        <v>490</v>
      </c>
      <c r="G33" t="s">
        <v>490</v>
      </c>
      <c r="H33" t="s">
        <v>489</v>
      </c>
      <c r="I33" t="s">
        <v>490</v>
      </c>
      <c r="K33" t="s">
        <v>1067</v>
      </c>
      <c r="L33">
        <v>1</v>
      </c>
      <c r="M33">
        <v>37</v>
      </c>
      <c r="N33">
        <f>SUM(L33:M33)</f>
        <v>38</v>
      </c>
    </row>
    <row r="34" spans="1:19">
      <c r="A34" t="s">
        <v>974</v>
      </c>
      <c r="B34" t="s">
        <v>490</v>
      </c>
      <c r="C34" t="s">
        <v>489</v>
      </c>
      <c r="D34" t="s">
        <v>489</v>
      </c>
      <c r="E34" t="s">
        <v>490</v>
      </c>
      <c r="F34" t="s">
        <v>490</v>
      </c>
      <c r="G34" t="s">
        <v>490</v>
      </c>
      <c r="H34" t="s">
        <v>490</v>
      </c>
      <c r="I34" t="s">
        <v>490</v>
      </c>
      <c r="K34" t="s">
        <v>1068</v>
      </c>
      <c r="L34">
        <v>0</v>
      </c>
      <c r="M34">
        <v>8</v>
      </c>
      <c r="N34">
        <f>SUM(L34:M34)</f>
        <v>8</v>
      </c>
    </row>
    <row r="35" spans="1:19">
      <c r="A35" t="s">
        <v>974</v>
      </c>
      <c r="B35" t="s">
        <v>490</v>
      </c>
      <c r="C35" t="s">
        <v>489</v>
      </c>
      <c r="D35" t="s">
        <v>490</v>
      </c>
      <c r="E35" t="s">
        <v>490</v>
      </c>
      <c r="F35" t="s">
        <v>490</v>
      </c>
      <c r="G35" t="s">
        <v>490</v>
      </c>
      <c r="H35" t="s">
        <v>490</v>
      </c>
      <c r="I35" t="s">
        <v>490</v>
      </c>
      <c r="K35" t="s">
        <v>1069</v>
      </c>
      <c r="L35">
        <v>18</v>
      </c>
      <c r="M35">
        <v>69</v>
      </c>
      <c r="N35">
        <f>SUM(L35:M35)</f>
        <v>87</v>
      </c>
    </row>
    <row r="36" spans="1:19">
      <c r="A36" t="s">
        <v>974</v>
      </c>
      <c r="B36" t="s">
        <v>489</v>
      </c>
      <c r="C36" t="s">
        <v>489</v>
      </c>
      <c r="D36" t="s">
        <v>489</v>
      </c>
      <c r="E36" t="s">
        <v>490</v>
      </c>
      <c r="F36" t="s">
        <v>490</v>
      </c>
      <c r="G36" t="s">
        <v>490</v>
      </c>
      <c r="H36" t="s">
        <v>490</v>
      </c>
      <c r="I36" t="s">
        <v>489</v>
      </c>
      <c r="K36" t="s">
        <v>1070</v>
      </c>
      <c r="L36">
        <v>1</v>
      </c>
      <c r="M36">
        <v>5</v>
      </c>
      <c r="N36">
        <f>SUM(L36:M36)</f>
        <v>6</v>
      </c>
    </row>
    <row r="37" spans="1:19">
      <c r="A37" t="s">
        <v>974</v>
      </c>
      <c r="B37" t="s">
        <v>489</v>
      </c>
      <c r="C37" t="s">
        <v>489</v>
      </c>
      <c r="D37" t="s">
        <v>489</v>
      </c>
      <c r="E37" t="s">
        <v>489</v>
      </c>
      <c r="F37" t="s">
        <v>490</v>
      </c>
      <c r="G37" t="s">
        <v>490</v>
      </c>
      <c r="H37" t="s">
        <v>489</v>
      </c>
      <c r="I37" t="s">
        <v>489</v>
      </c>
      <c r="L37">
        <f>SUM(L33:L36)</f>
        <v>20</v>
      </c>
    </row>
    <row r="38" spans="1:19">
      <c r="A38" t="s">
        <v>974</v>
      </c>
      <c r="B38" t="s">
        <v>489</v>
      </c>
      <c r="C38" t="s">
        <v>489</v>
      </c>
      <c r="D38" t="s">
        <v>489</v>
      </c>
      <c r="E38" t="s">
        <v>489</v>
      </c>
      <c r="F38" t="s">
        <v>490</v>
      </c>
      <c r="G38" t="s">
        <v>490</v>
      </c>
      <c r="H38" t="s">
        <v>489</v>
      </c>
      <c r="I38" t="s">
        <v>490</v>
      </c>
      <c r="K38" s="3" t="s">
        <v>1066</v>
      </c>
    </row>
    <row r="39" spans="1:19">
      <c r="A39" t="s">
        <v>974</v>
      </c>
      <c r="B39" t="s">
        <v>489</v>
      </c>
      <c r="C39" t="s">
        <v>489</v>
      </c>
      <c r="D39" t="s">
        <v>489</v>
      </c>
      <c r="E39" t="s">
        <v>490</v>
      </c>
      <c r="F39" t="s">
        <v>490</v>
      </c>
      <c r="G39" t="s">
        <v>490</v>
      </c>
      <c r="H39" t="s">
        <v>490</v>
      </c>
      <c r="I39" t="s">
        <v>489</v>
      </c>
      <c r="L39" t="s">
        <v>1004</v>
      </c>
      <c r="M39" t="s">
        <v>1005</v>
      </c>
      <c r="N39" t="s">
        <v>978</v>
      </c>
    </row>
    <row r="40" spans="1:19">
      <c r="A40" t="s">
        <v>974</v>
      </c>
      <c r="B40" t="s">
        <v>489</v>
      </c>
      <c r="C40" t="s">
        <v>489</v>
      </c>
      <c r="D40" t="s">
        <v>489</v>
      </c>
      <c r="E40" t="s">
        <v>489</v>
      </c>
      <c r="F40" t="s">
        <v>490</v>
      </c>
      <c r="G40" t="s">
        <v>490</v>
      </c>
      <c r="H40" t="s">
        <v>489</v>
      </c>
      <c r="I40" t="s">
        <v>490</v>
      </c>
      <c r="K40" t="s">
        <v>1067</v>
      </c>
      <c r="L40">
        <v>4</v>
      </c>
      <c r="M40">
        <v>34</v>
      </c>
      <c r="N40">
        <f>SUM(L40:M40)</f>
        <v>38</v>
      </c>
    </row>
    <row r="41" spans="1:19">
      <c r="A41" t="s">
        <v>974</v>
      </c>
      <c r="B41" t="s">
        <v>489</v>
      </c>
      <c r="C41" t="s">
        <v>489</v>
      </c>
      <c r="D41" t="s">
        <v>489</v>
      </c>
      <c r="E41" t="s">
        <v>489</v>
      </c>
      <c r="F41" t="s">
        <v>490</v>
      </c>
      <c r="G41" t="s">
        <v>490</v>
      </c>
      <c r="H41" t="s">
        <v>489</v>
      </c>
      <c r="I41" t="s">
        <v>489</v>
      </c>
      <c r="K41" t="s">
        <v>1068</v>
      </c>
      <c r="L41">
        <v>2</v>
      </c>
      <c r="M41">
        <v>6</v>
      </c>
      <c r="N41">
        <f>SUM(L41:M41)</f>
        <v>8</v>
      </c>
    </row>
    <row r="42" spans="1:19">
      <c r="B42" s="36" t="s">
        <v>1031</v>
      </c>
      <c r="C42" s="36" t="s">
        <v>1039</v>
      </c>
      <c r="D42" s="36" t="s">
        <v>1040</v>
      </c>
      <c r="E42" s="36" t="s">
        <v>1041</v>
      </c>
      <c r="F42" s="36" t="s">
        <v>1042</v>
      </c>
      <c r="G42" s="36" t="s">
        <v>1043</v>
      </c>
      <c r="H42" s="36" t="s">
        <v>1045</v>
      </c>
      <c r="I42" s="36" t="s">
        <v>1046</v>
      </c>
      <c r="K42" t="s">
        <v>1069</v>
      </c>
      <c r="L42">
        <v>33</v>
      </c>
      <c r="M42">
        <v>54</v>
      </c>
      <c r="N42">
        <f>SUM(L42:M42)</f>
        <v>87</v>
      </c>
    </row>
    <row r="43" spans="1:19">
      <c r="K43" t="s">
        <v>1070</v>
      </c>
      <c r="L43">
        <v>2</v>
      </c>
      <c r="M43">
        <v>4</v>
      </c>
      <c r="N43">
        <f>SUM(L43:M43)</f>
        <v>6</v>
      </c>
    </row>
    <row r="44" spans="1:19">
      <c r="B44" t="s">
        <v>656</v>
      </c>
      <c r="C44" t="s">
        <v>657</v>
      </c>
      <c r="D44" t="s">
        <v>658</v>
      </c>
      <c r="E44" t="s">
        <v>659</v>
      </c>
      <c r="F44" t="s">
        <v>660</v>
      </c>
      <c r="G44" t="s">
        <v>661</v>
      </c>
      <c r="H44" t="s">
        <v>662</v>
      </c>
      <c r="I44" t="s">
        <v>1030</v>
      </c>
      <c r="K44" t="s">
        <v>1044</v>
      </c>
      <c r="L44">
        <f>SUM(L40:L43)</f>
        <v>41</v>
      </c>
      <c r="O44" s="36"/>
      <c r="P44" s="36"/>
      <c r="Q44" s="36"/>
      <c r="R44" s="36"/>
      <c r="S44" s="36"/>
    </row>
    <row r="45" spans="1:19">
      <c r="A45" t="s">
        <v>973</v>
      </c>
      <c r="B45" t="s">
        <v>489</v>
      </c>
      <c r="C45" t="s">
        <v>489</v>
      </c>
      <c r="D45" t="s">
        <v>489</v>
      </c>
      <c r="E45" t="s">
        <v>489</v>
      </c>
      <c r="F45" t="s">
        <v>490</v>
      </c>
      <c r="G45" t="s">
        <v>490</v>
      </c>
      <c r="H45" t="s">
        <v>489</v>
      </c>
      <c r="I45" t="s">
        <v>490</v>
      </c>
      <c r="K45" s="3" t="s">
        <v>1036</v>
      </c>
    </row>
    <row r="46" spans="1:19">
      <c r="A46" t="s">
        <v>973</v>
      </c>
      <c r="B46" t="s">
        <v>489</v>
      </c>
      <c r="C46" t="s">
        <v>489</v>
      </c>
      <c r="D46" t="s">
        <v>489</v>
      </c>
      <c r="E46" t="s">
        <v>490</v>
      </c>
      <c r="F46" t="s">
        <v>490</v>
      </c>
      <c r="G46" t="s">
        <v>490</v>
      </c>
      <c r="H46" t="s">
        <v>489</v>
      </c>
      <c r="I46" t="s">
        <v>489</v>
      </c>
      <c r="L46" t="s">
        <v>1004</v>
      </c>
      <c r="M46" t="s">
        <v>1005</v>
      </c>
      <c r="N46" t="s">
        <v>978</v>
      </c>
    </row>
    <row r="47" spans="1:19">
      <c r="A47" t="s">
        <v>973</v>
      </c>
      <c r="B47" t="s">
        <v>489</v>
      </c>
      <c r="C47" t="s">
        <v>489</v>
      </c>
      <c r="D47" t="s">
        <v>489</v>
      </c>
      <c r="E47" t="s">
        <v>490</v>
      </c>
      <c r="F47" t="s">
        <v>490</v>
      </c>
      <c r="G47" t="s">
        <v>489</v>
      </c>
      <c r="H47" t="s">
        <v>489</v>
      </c>
      <c r="I47" t="s">
        <v>489</v>
      </c>
      <c r="K47" t="s">
        <v>1067</v>
      </c>
      <c r="L47">
        <v>26</v>
      </c>
      <c r="M47">
        <v>12</v>
      </c>
      <c r="N47">
        <f>SUM(L47:M47)</f>
        <v>38</v>
      </c>
    </row>
    <row r="48" spans="1:19">
      <c r="A48" t="s">
        <v>973</v>
      </c>
      <c r="B48" t="s">
        <v>489</v>
      </c>
      <c r="C48" t="s">
        <v>489</v>
      </c>
      <c r="D48" t="s">
        <v>490</v>
      </c>
      <c r="E48" t="s">
        <v>489</v>
      </c>
      <c r="F48" t="s">
        <v>490</v>
      </c>
      <c r="G48" t="s">
        <v>489</v>
      </c>
      <c r="H48" t="s">
        <v>489</v>
      </c>
      <c r="I48" t="s">
        <v>489</v>
      </c>
      <c r="K48" t="s">
        <v>1068</v>
      </c>
      <c r="L48">
        <v>5</v>
      </c>
      <c r="M48">
        <v>3</v>
      </c>
      <c r="N48">
        <f>SUM(L48:M48)</f>
        <v>8</v>
      </c>
    </row>
    <row r="49" spans="1:14">
      <c r="A49" t="s">
        <v>973</v>
      </c>
      <c r="B49" t="s">
        <v>489</v>
      </c>
      <c r="C49" t="s">
        <v>490</v>
      </c>
      <c r="D49" t="s">
        <v>490</v>
      </c>
      <c r="E49" t="s">
        <v>490</v>
      </c>
      <c r="F49" t="s">
        <v>490</v>
      </c>
      <c r="G49" t="s">
        <v>490</v>
      </c>
      <c r="H49" t="s">
        <v>490</v>
      </c>
      <c r="I49" t="s">
        <v>489</v>
      </c>
      <c r="K49" t="s">
        <v>1069</v>
      </c>
      <c r="L49">
        <v>46</v>
      </c>
      <c r="M49">
        <v>41</v>
      </c>
      <c r="N49">
        <f>SUM(L49:M49)</f>
        <v>87</v>
      </c>
    </row>
    <row r="50" spans="1:14">
      <c r="A50" t="s">
        <v>973</v>
      </c>
      <c r="B50" t="s">
        <v>489</v>
      </c>
      <c r="C50" t="s">
        <v>489</v>
      </c>
      <c r="D50" t="s">
        <v>489</v>
      </c>
      <c r="E50" t="s">
        <v>490</v>
      </c>
      <c r="F50" t="s">
        <v>490</v>
      </c>
      <c r="G50" t="s">
        <v>490</v>
      </c>
      <c r="H50" t="s">
        <v>490</v>
      </c>
      <c r="I50" t="s">
        <v>490</v>
      </c>
      <c r="K50" t="s">
        <v>1070</v>
      </c>
      <c r="L50">
        <v>5</v>
      </c>
      <c r="M50">
        <v>1</v>
      </c>
      <c r="N50">
        <f>SUM(L50:M50)</f>
        <v>6</v>
      </c>
    </row>
    <row r="51" spans="1:14">
      <c r="A51" t="s">
        <v>973</v>
      </c>
      <c r="B51" t="s">
        <v>489</v>
      </c>
      <c r="C51" t="s">
        <v>489</v>
      </c>
      <c r="D51" t="s">
        <v>489</v>
      </c>
      <c r="E51" t="s">
        <v>489</v>
      </c>
      <c r="F51" t="s">
        <v>490</v>
      </c>
      <c r="G51" t="s">
        <v>490</v>
      </c>
      <c r="H51" t="s">
        <v>490</v>
      </c>
      <c r="I51" t="s">
        <v>490</v>
      </c>
      <c r="L51">
        <f>SUM(L47:L50)</f>
        <v>82</v>
      </c>
    </row>
    <row r="52" spans="1:14">
      <c r="A52" t="s">
        <v>973</v>
      </c>
      <c r="B52" t="s">
        <v>489</v>
      </c>
      <c r="C52" t="s">
        <v>489</v>
      </c>
      <c r="D52" t="s">
        <v>489</v>
      </c>
      <c r="E52" t="s">
        <v>490</v>
      </c>
      <c r="F52" t="s">
        <v>490</v>
      </c>
      <c r="G52" t="s">
        <v>490</v>
      </c>
      <c r="H52" t="s">
        <v>489</v>
      </c>
      <c r="I52" t="s">
        <v>489</v>
      </c>
      <c r="K52" s="3" t="s">
        <v>1037</v>
      </c>
    </row>
    <row r="53" spans="1:14">
      <c r="B53" s="36" t="s">
        <v>1047</v>
      </c>
      <c r="C53" s="36" t="s">
        <v>1048</v>
      </c>
      <c r="D53" s="36" t="s">
        <v>1049</v>
      </c>
      <c r="E53" s="36" t="s">
        <v>1050</v>
      </c>
      <c r="F53" s="36" t="s">
        <v>1051</v>
      </c>
      <c r="G53" s="36" t="s">
        <v>1052</v>
      </c>
      <c r="H53" s="36" t="s">
        <v>1053</v>
      </c>
      <c r="I53" s="36" t="s">
        <v>1053</v>
      </c>
      <c r="L53" t="s">
        <v>1004</v>
      </c>
      <c r="M53" t="s">
        <v>1005</v>
      </c>
      <c r="N53" t="s">
        <v>978</v>
      </c>
    </row>
    <row r="54" spans="1:14">
      <c r="K54" t="s">
        <v>1067</v>
      </c>
      <c r="L54">
        <v>20</v>
      </c>
      <c r="M54">
        <v>18</v>
      </c>
      <c r="N54">
        <f>SUM(L54:M54)</f>
        <v>38</v>
      </c>
    </row>
    <row r="55" spans="1:14">
      <c r="B55" t="s">
        <v>656</v>
      </c>
      <c r="C55" t="s">
        <v>657</v>
      </c>
      <c r="D55" t="s">
        <v>658</v>
      </c>
      <c r="E55" t="s">
        <v>659</v>
      </c>
      <c r="F55" t="s">
        <v>660</v>
      </c>
      <c r="G55" t="s">
        <v>661</v>
      </c>
      <c r="H55" t="s">
        <v>662</v>
      </c>
      <c r="I55" t="s">
        <v>1030</v>
      </c>
      <c r="K55" t="s">
        <v>1068</v>
      </c>
      <c r="L55">
        <v>5</v>
      </c>
      <c r="M55">
        <v>3</v>
      </c>
      <c r="N55">
        <f>SUM(L55:M55)</f>
        <v>8</v>
      </c>
    </row>
    <row r="56" spans="1:14">
      <c r="A56" t="s">
        <v>972</v>
      </c>
      <c r="B56" t="s">
        <v>489</v>
      </c>
      <c r="C56" t="s">
        <v>489</v>
      </c>
      <c r="D56" t="s">
        <v>489</v>
      </c>
      <c r="E56" t="s">
        <v>489</v>
      </c>
      <c r="F56" t="s">
        <v>489</v>
      </c>
      <c r="G56" t="s">
        <v>489</v>
      </c>
      <c r="H56" t="s">
        <v>489</v>
      </c>
      <c r="I56" t="s">
        <v>489</v>
      </c>
      <c r="K56" t="s">
        <v>1069</v>
      </c>
      <c r="L56">
        <v>38</v>
      </c>
      <c r="M56">
        <v>49</v>
      </c>
      <c r="N56">
        <f>SUM(L56:M56)</f>
        <v>87</v>
      </c>
    </row>
    <row r="57" spans="1:14">
      <c r="A57" t="s">
        <v>972</v>
      </c>
      <c r="B57" t="s">
        <v>489</v>
      </c>
      <c r="C57" t="s">
        <v>489</v>
      </c>
      <c r="D57" t="s">
        <v>489</v>
      </c>
      <c r="E57" t="s">
        <v>489</v>
      </c>
      <c r="F57" t="s">
        <v>489</v>
      </c>
      <c r="G57" t="s">
        <v>489</v>
      </c>
      <c r="H57" t="s">
        <v>489</v>
      </c>
      <c r="I57" t="s">
        <v>489</v>
      </c>
      <c r="K57" t="s">
        <v>1070</v>
      </c>
      <c r="L57">
        <v>6</v>
      </c>
      <c r="M57">
        <v>0</v>
      </c>
      <c r="N57">
        <f>SUM(L57:M57)</f>
        <v>6</v>
      </c>
    </row>
    <row r="58" spans="1:14">
      <c r="A58" t="s">
        <v>972</v>
      </c>
      <c r="B58" t="s">
        <v>489</v>
      </c>
      <c r="C58" t="s">
        <v>489</v>
      </c>
      <c r="D58" t="s">
        <v>489</v>
      </c>
      <c r="E58" t="s">
        <v>489</v>
      </c>
      <c r="F58" t="s">
        <v>489</v>
      </c>
      <c r="G58" t="s">
        <v>489</v>
      </c>
      <c r="H58" t="s">
        <v>489</v>
      </c>
      <c r="I58" t="s">
        <v>489</v>
      </c>
      <c r="L58">
        <f>SUM(L54:L57)</f>
        <v>69</v>
      </c>
    </row>
    <row r="59" spans="1:14">
      <c r="A59" t="s">
        <v>972</v>
      </c>
      <c r="B59" t="s">
        <v>489</v>
      </c>
      <c r="C59" t="s">
        <v>489</v>
      </c>
      <c r="D59" t="s">
        <v>489</v>
      </c>
      <c r="E59" t="s">
        <v>489</v>
      </c>
      <c r="F59" t="s">
        <v>490</v>
      </c>
      <c r="G59" t="s">
        <v>489</v>
      </c>
      <c r="H59" t="s">
        <v>489</v>
      </c>
      <c r="I59" t="s">
        <v>489</v>
      </c>
    </row>
    <row r="60" spans="1:14">
      <c r="A60" t="s">
        <v>972</v>
      </c>
      <c r="B60" t="s">
        <v>489</v>
      </c>
      <c r="C60" t="s">
        <v>489</v>
      </c>
      <c r="D60" t="s">
        <v>489</v>
      </c>
      <c r="E60" t="s">
        <v>489</v>
      </c>
      <c r="F60" t="s">
        <v>490</v>
      </c>
      <c r="G60" t="s">
        <v>489</v>
      </c>
      <c r="H60" t="s">
        <v>489</v>
      </c>
      <c r="I60" t="s">
        <v>489</v>
      </c>
    </row>
    <row r="61" spans="1:14">
      <c r="A61" t="s">
        <v>972</v>
      </c>
      <c r="B61" t="s">
        <v>489</v>
      </c>
      <c r="C61" t="s">
        <v>489</v>
      </c>
      <c r="D61" t="s">
        <v>489</v>
      </c>
      <c r="E61" t="s">
        <v>489</v>
      </c>
      <c r="F61" t="s">
        <v>490</v>
      </c>
      <c r="G61" t="s">
        <v>489</v>
      </c>
      <c r="H61" t="s">
        <v>489</v>
      </c>
      <c r="I61" t="s">
        <v>489</v>
      </c>
    </row>
    <row r="62" spans="1:14">
      <c r="A62" t="s">
        <v>972</v>
      </c>
      <c r="B62" t="s">
        <v>489</v>
      </c>
      <c r="C62" t="s">
        <v>489</v>
      </c>
      <c r="D62" t="s">
        <v>489</v>
      </c>
      <c r="E62" t="s">
        <v>489</v>
      </c>
      <c r="F62" t="s">
        <v>490</v>
      </c>
      <c r="G62" t="s">
        <v>489</v>
      </c>
      <c r="H62" t="s">
        <v>489</v>
      </c>
      <c r="I62" t="s">
        <v>489</v>
      </c>
    </row>
    <row r="63" spans="1:14">
      <c r="A63" t="s">
        <v>972</v>
      </c>
      <c r="B63" t="s">
        <v>489</v>
      </c>
      <c r="C63" t="s">
        <v>489</v>
      </c>
      <c r="D63" t="s">
        <v>489</v>
      </c>
      <c r="E63" t="s">
        <v>489</v>
      </c>
      <c r="F63" t="s">
        <v>490</v>
      </c>
      <c r="G63" t="s">
        <v>489</v>
      </c>
      <c r="H63" t="s">
        <v>489</v>
      </c>
      <c r="I63" t="s">
        <v>489</v>
      </c>
    </row>
    <row r="64" spans="1:14">
      <c r="A64" t="s">
        <v>972</v>
      </c>
      <c r="B64" t="s">
        <v>489</v>
      </c>
      <c r="C64" t="s">
        <v>489</v>
      </c>
      <c r="D64" t="s">
        <v>489</v>
      </c>
      <c r="E64" t="s">
        <v>489</v>
      </c>
      <c r="F64" t="s">
        <v>490</v>
      </c>
      <c r="G64" t="s">
        <v>489</v>
      </c>
      <c r="H64" t="s">
        <v>489</v>
      </c>
      <c r="I64" t="s">
        <v>489</v>
      </c>
    </row>
    <row r="65" spans="1:19">
      <c r="A65" t="s">
        <v>972</v>
      </c>
      <c r="B65" t="s">
        <v>489</v>
      </c>
      <c r="C65" t="s">
        <v>489</v>
      </c>
      <c r="D65" t="s">
        <v>489</v>
      </c>
      <c r="E65" t="s">
        <v>489</v>
      </c>
      <c r="F65" t="s">
        <v>490</v>
      </c>
      <c r="G65" t="s">
        <v>489</v>
      </c>
      <c r="H65" t="s">
        <v>489</v>
      </c>
      <c r="I65" t="s">
        <v>489</v>
      </c>
      <c r="L65" s="3" t="s">
        <v>1035</v>
      </c>
      <c r="M65" s="3" t="s">
        <v>1066</v>
      </c>
      <c r="N65" s="3" t="s">
        <v>1038</v>
      </c>
      <c r="O65" s="3" t="s">
        <v>1037</v>
      </c>
      <c r="P65" s="3" t="s">
        <v>1036</v>
      </c>
      <c r="Q65" s="3" t="s">
        <v>1032</v>
      </c>
      <c r="R65" s="3" t="s">
        <v>1034</v>
      </c>
      <c r="S65" s="3" t="s">
        <v>1033</v>
      </c>
    </row>
    <row r="66" spans="1:19">
      <c r="A66" t="s">
        <v>972</v>
      </c>
      <c r="B66" t="s">
        <v>489</v>
      </c>
      <c r="C66" t="s">
        <v>489</v>
      </c>
      <c r="D66" t="s">
        <v>489</v>
      </c>
      <c r="E66" t="s">
        <v>490</v>
      </c>
      <c r="F66" t="s">
        <v>490</v>
      </c>
      <c r="G66" t="s">
        <v>489</v>
      </c>
      <c r="H66" t="s">
        <v>489</v>
      </c>
      <c r="I66" t="s">
        <v>489</v>
      </c>
      <c r="K66" t="s">
        <v>1067</v>
      </c>
      <c r="L66" s="38">
        <f>1/38</f>
        <v>2.6315789473684209E-2</v>
      </c>
      <c r="M66" s="38">
        <f>4/38</f>
        <v>0.10526315789473684</v>
      </c>
      <c r="N66" s="38">
        <f>15/38</f>
        <v>0.39473684210526316</v>
      </c>
      <c r="O66" s="38">
        <f>20/38</f>
        <v>0.52631578947368418</v>
      </c>
      <c r="P66" s="38">
        <f>26/38</f>
        <v>0.68421052631578949</v>
      </c>
      <c r="Q66" s="38">
        <f>34/38</f>
        <v>0.89473684210526316</v>
      </c>
      <c r="R66" s="38">
        <f>36/38</f>
        <v>0.94736842105263153</v>
      </c>
      <c r="S66" s="38">
        <f>38/38</f>
        <v>1</v>
      </c>
    </row>
    <row r="67" spans="1:19">
      <c r="A67" t="s">
        <v>972</v>
      </c>
      <c r="B67" t="s">
        <v>489</v>
      </c>
      <c r="C67" t="s">
        <v>489</v>
      </c>
      <c r="D67" t="s">
        <v>489</v>
      </c>
      <c r="E67" t="s">
        <v>489</v>
      </c>
      <c r="F67" t="s">
        <v>489</v>
      </c>
      <c r="G67" t="s">
        <v>490</v>
      </c>
      <c r="H67" t="s">
        <v>489</v>
      </c>
      <c r="I67" t="s">
        <v>489</v>
      </c>
    </row>
    <row r="68" spans="1:19">
      <c r="A68" t="s">
        <v>972</v>
      </c>
      <c r="B68" t="s">
        <v>489</v>
      </c>
      <c r="C68" t="s">
        <v>489</v>
      </c>
      <c r="D68" t="s">
        <v>489</v>
      </c>
      <c r="E68" t="s">
        <v>489</v>
      </c>
      <c r="F68" t="s">
        <v>489</v>
      </c>
      <c r="G68" t="s">
        <v>490</v>
      </c>
      <c r="H68" t="s">
        <v>489</v>
      </c>
      <c r="I68" t="s">
        <v>489</v>
      </c>
      <c r="L68" s="3" t="s">
        <v>1035</v>
      </c>
      <c r="M68" s="3" t="s">
        <v>1066</v>
      </c>
      <c r="N68" s="3" t="s">
        <v>1038</v>
      </c>
      <c r="O68" s="3" t="s">
        <v>1036</v>
      </c>
      <c r="P68" s="3" t="s">
        <v>1037</v>
      </c>
      <c r="Q68" s="3" t="s">
        <v>1034</v>
      </c>
      <c r="R68" s="3" t="s">
        <v>1033</v>
      </c>
      <c r="S68" s="3" t="s">
        <v>1032</v>
      </c>
    </row>
    <row r="69" spans="1:19">
      <c r="A69" t="s">
        <v>972</v>
      </c>
      <c r="B69" t="s">
        <v>489</v>
      </c>
      <c r="C69" t="s">
        <v>489</v>
      </c>
      <c r="D69" t="s">
        <v>489</v>
      </c>
      <c r="E69" t="s">
        <v>489</v>
      </c>
      <c r="F69" t="s">
        <v>489</v>
      </c>
      <c r="G69" t="s">
        <v>490</v>
      </c>
      <c r="H69" t="s">
        <v>489</v>
      </c>
      <c r="I69" t="s">
        <v>489</v>
      </c>
      <c r="K69" t="s">
        <v>1068</v>
      </c>
      <c r="L69" s="38">
        <f>0/8</f>
        <v>0</v>
      </c>
      <c r="M69" s="38">
        <f>2/8</f>
        <v>0.25</v>
      </c>
      <c r="N69" s="38">
        <f>3/8</f>
        <v>0.375</v>
      </c>
      <c r="O69" s="38">
        <f>5/8</f>
        <v>0.625</v>
      </c>
      <c r="P69" s="38">
        <f>5/8</f>
        <v>0.625</v>
      </c>
      <c r="Q69" s="38">
        <f>6/8</f>
        <v>0.75</v>
      </c>
      <c r="R69" s="38">
        <f>7/8</f>
        <v>0.875</v>
      </c>
      <c r="S69" s="38">
        <f>8/8</f>
        <v>1</v>
      </c>
    </row>
    <row r="70" spans="1:19">
      <c r="A70" t="s">
        <v>972</v>
      </c>
      <c r="B70" t="s">
        <v>490</v>
      </c>
      <c r="C70" t="s">
        <v>489</v>
      </c>
      <c r="D70" t="s">
        <v>490</v>
      </c>
      <c r="E70" t="s">
        <v>489</v>
      </c>
      <c r="F70" t="s">
        <v>489</v>
      </c>
      <c r="G70" t="s">
        <v>490</v>
      </c>
      <c r="H70" t="s">
        <v>489</v>
      </c>
      <c r="I70" t="s">
        <v>489</v>
      </c>
    </row>
    <row r="71" spans="1:19">
      <c r="A71" t="s">
        <v>972</v>
      </c>
      <c r="B71" t="s">
        <v>489</v>
      </c>
      <c r="C71" t="s">
        <v>489</v>
      </c>
      <c r="D71" t="s">
        <v>489</v>
      </c>
      <c r="E71" t="s">
        <v>489</v>
      </c>
      <c r="F71" t="s">
        <v>490</v>
      </c>
      <c r="G71" t="s">
        <v>490</v>
      </c>
      <c r="H71" t="s">
        <v>489</v>
      </c>
      <c r="I71" t="s">
        <v>489</v>
      </c>
      <c r="L71" s="3" t="s">
        <v>1035</v>
      </c>
      <c r="M71" s="3" t="s">
        <v>1066</v>
      </c>
      <c r="N71" s="3" t="s">
        <v>1037</v>
      </c>
      <c r="O71" s="3" t="s">
        <v>1036</v>
      </c>
      <c r="P71" s="3" t="s">
        <v>1034</v>
      </c>
      <c r="Q71" s="3" t="s">
        <v>1032</v>
      </c>
      <c r="R71" s="3" t="s">
        <v>1038</v>
      </c>
      <c r="S71" s="3" t="s">
        <v>1033</v>
      </c>
    </row>
    <row r="72" spans="1:19">
      <c r="A72" t="s">
        <v>972</v>
      </c>
      <c r="B72" t="s">
        <v>489</v>
      </c>
      <c r="C72" t="s">
        <v>489</v>
      </c>
      <c r="D72" t="s">
        <v>489</v>
      </c>
      <c r="E72" t="s">
        <v>489</v>
      </c>
      <c r="F72" t="s">
        <v>490</v>
      </c>
      <c r="G72" t="s">
        <v>490</v>
      </c>
      <c r="H72" t="s">
        <v>489</v>
      </c>
      <c r="I72" t="s">
        <v>489</v>
      </c>
      <c r="K72" t="s">
        <v>1069</v>
      </c>
      <c r="L72" s="25">
        <f>18/87</f>
        <v>0.20689655172413793</v>
      </c>
      <c r="M72" s="25">
        <f>33/87</f>
        <v>0.37931034482758619</v>
      </c>
      <c r="N72" s="25">
        <f>38/87</f>
        <v>0.43678160919540232</v>
      </c>
      <c r="O72" s="25">
        <f>46/87</f>
        <v>0.52873563218390807</v>
      </c>
      <c r="P72" s="25">
        <f>49/87</f>
        <v>0.56321839080459768</v>
      </c>
      <c r="Q72" s="38">
        <f>68/87</f>
        <v>0.7816091954022989</v>
      </c>
      <c r="R72" s="25">
        <f>71/87</f>
        <v>0.81609195402298851</v>
      </c>
      <c r="S72" s="25">
        <f>79/87</f>
        <v>0.90804597701149425</v>
      </c>
    </row>
    <row r="73" spans="1:19">
      <c r="A73" t="s">
        <v>972</v>
      </c>
      <c r="B73" t="s">
        <v>489</v>
      </c>
      <c r="C73" t="s">
        <v>489</v>
      </c>
      <c r="D73" t="s">
        <v>489</v>
      </c>
      <c r="E73" t="s">
        <v>489</v>
      </c>
      <c r="F73" t="s">
        <v>490</v>
      </c>
      <c r="G73" t="s">
        <v>490</v>
      </c>
      <c r="H73" t="s">
        <v>489</v>
      </c>
      <c r="I73" t="s">
        <v>489</v>
      </c>
    </row>
    <row r="74" spans="1:19">
      <c r="A74" t="s">
        <v>972</v>
      </c>
      <c r="B74" t="s">
        <v>489</v>
      </c>
      <c r="C74" t="s">
        <v>489</v>
      </c>
      <c r="D74" t="s">
        <v>489</v>
      </c>
      <c r="E74" t="s">
        <v>489</v>
      </c>
      <c r="F74" t="s">
        <v>490</v>
      </c>
      <c r="G74" t="s">
        <v>490</v>
      </c>
      <c r="H74" t="s">
        <v>489</v>
      </c>
      <c r="I74" t="s">
        <v>489</v>
      </c>
      <c r="L74" s="3" t="s">
        <v>1035</v>
      </c>
      <c r="M74" s="3" t="s">
        <v>1038</v>
      </c>
      <c r="N74" s="3" t="s">
        <v>1066</v>
      </c>
      <c r="O74" s="3" t="s">
        <v>1032</v>
      </c>
      <c r="P74" s="3" t="s">
        <v>1036</v>
      </c>
      <c r="Q74" s="3" t="s">
        <v>1034</v>
      </c>
      <c r="R74" s="3" t="s">
        <v>1033</v>
      </c>
      <c r="S74" s="3" t="s">
        <v>1037</v>
      </c>
    </row>
    <row r="75" spans="1:19">
      <c r="A75" t="s">
        <v>972</v>
      </c>
      <c r="B75" t="s">
        <v>489</v>
      </c>
      <c r="C75" t="s">
        <v>489</v>
      </c>
      <c r="D75" t="s">
        <v>489</v>
      </c>
      <c r="E75" t="s">
        <v>489</v>
      </c>
      <c r="F75" t="s">
        <v>490</v>
      </c>
      <c r="G75" t="s">
        <v>490</v>
      </c>
      <c r="H75" t="s">
        <v>489</v>
      </c>
      <c r="I75" t="s">
        <v>489</v>
      </c>
      <c r="K75" t="s">
        <v>1070</v>
      </c>
      <c r="L75" s="38">
        <f>1/6</f>
        <v>0.16666666666666666</v>
      </c>
      <c r="M75" s="38">
        <f>2/6</f>
        <v>0.33333333333333331</v>
      </c>
      <c r="N75" s="38">
        <f>2/6</f>
        <v>0.33333333333333331</v>
      </c>
      <c r="O75" s="38">
        <f>5/6</f>
        <v>0.83333333333333337</v>
      </c>
      <c r="P75" s="38">
        <f>5/6</f>
        <v>0.83333333333333337</v>
      </c>
      <c r="Q75" s="38">
        <f>6/6</f>
        <v>1</v>
      </c>
      <c r="R75" s="38">
        <f>6/6</f>
        <v>1</v>
      </c>
      <c r="S75" s="38">
        <f>6/6</f>
        <v>1</v>
      </c>
    </row>
    <row r="76" spans="1:19">
      <c r="A76" t="s">
        <v>972</v>
      </c>
      <c r="B76" t="s">
        <v>489</v>
      </c>
      <c r="C76" t="s">
        <v>489</v>
      </c>
      <c r="D76" t="s">
        <v>489</v>
      </c>
      <c r="E76" t="s">
        <v>489</v>
      </c>
      <c r="F76" t="s">
        <v>490</v>
      </c>
      <c r="G76" t="s">
        <v>490</v>
      </c>
      <c r="H76" t="s">
        <v>489</v>
      </c>
      <c r="I76" t="s">
        <v>489</v>
      </c>
    </row>
    <row r="77" spans="1:19">
      <c r="A77" t="s">
        <v>972</v>
      </c>
      <c r="B77" t="s">
        <v>490</v>
      </c>
      <c r="C77" t="s">
        <v>489</v>
      </c>
      <c r="D77" t="s">
        <v>489</v>
      </c>
      <c r="E77" t="s">
        <v>489</v>
      </c>
      <c r="F77" t="s">
        <v>490</v>
      </c>
      <c r="G77" t="s">
        <v>490</v>
      </c>
      <c r="H77" t="s">
        <v>489</v>
      </c>
      <c r="I77" t="s">
        <v>489</v>
      </c>
    </row>
    <row r="78" spans="1:19">
      <c r="A78" t="s">
        <v>972</v>
      </c>
      <c r="B78" t="s">
        <v>489</v>
      </c>
      <c r="C78" t="s">
        <v>489</v>
      </c>
      <c r="D78" t="s">
        <v>490</v>
      </c>
      <c r="E78" t="s">
        <v>489</v>
      </c>
      <c r="F78" t="s">
        <v>490</v>
      </c>
      <c r="G78" t="s">
        <v>490</v>
      </c>
      <c r="H78" t="s">
        <v>489</v>
      </c>
      <c r="I78" t="s">
        <v>489</v>
      </c>
    </row>
    <row r="79" spans="1:19">
      <c r="A79" t="s">
        <v>972</v>
      </c>
      <c r="B79" t="s">
        <v>489</v>
      </c>
      <c r="C79" t="s">
        <v>489</v>
      </c>
      <c r="D79" t="s">
        <v>490</v>
      </c>
      <c r="E79" t="s">
        <v>489</v>
      </c>
      <c r="F79" t="s">
        <v>490</v>
      </c>
      <c r="G79" t="s">
        <v>490</v>
      </c>
      <c r="H79" t="s">
        <v>489</v>
      </c>
      <c r="I79" t="s">
        <v>489</v>
      </c>
    </row>
    <row r="80" spans="1:19">
      <c r="A80" t="s">
        <v>972</v>
      </c>
      <c r="B80" t="s">
        <v>489</v>
      </c>
      <c r="C80" t="s">
        <v>489</v>
      </c>
      <c r="D80" t="s">
        <v>490</v>
      </c>
      <c r="E80" t="s">
        <v>489</v>
      </c>
      <c r="F80" t="s">
        <v>490</v>
      </c>
      <c r="G80" t="s">
        <v>490</v>
      </c>
      <c r="H80" t="s">
        <v>489</v>
      </c>
      <c r="I80" t="s">
        <v>489</v>
      </c>
    </row>
    <row r="81" spans="1:9">
      <c r="A81" t="s">
        <v>972</v>
      </c>
      <c r="B81" t="s">
        <v>489</v>
      </c>
      <c r="C81" t="s">
        <v>489</v>
      </c>
      <c r="D81" t="s">
        <v>490</v>
      </c>
      <c r="E81" t="s">
        <v>489</v>
      </c>
      <c r="F81" t="s">
        <v>490</v>
      </c>
      <c r="G81" t="s">
        <v>490</v>
      </c>
      <c r="H81" t="s">
        <v>489</v>
      </c>
      <c r="I81" t="s">
        <v>489</v>
      </c>
    </row>
    <row r="82" spans="1:9">
      <c r="A82" t="s">
        <v>972</v>
      </c>
      <c r="B82" t="s">
        <v>489</v>
      </c>
      <c r="C82" t="s">
        <v>489</v>
      </c>
      <c r="D82" t="s">
        <v>490</v>
      </c>
      <c r="E82" t="s">
        <v>489</v>
      </c>
      <c r="F82" t="s">
        <v>490</v>
      </c>
      <c r="G82" t="s">
        <v>490</v>
      </c>
      <c r="H82" t="s">
        <v>489</v>
      </c>
      <c r="I82" t="s">
        <v>489</v>
      </c>
    </row>
    <row r="83" spans="1:9">
      <c r="A83" t="s">
        <v>972</v>
      </c>
      <c r="B83" t="s">
        <v>490</v>
      </c>
      <c r="C83" t="s">
        <v>489</v>
      </c>
      <c r="D83" t="s">
        <v>490</v>
      </c>
      <c r="E83" t="s">
        <v>489</v>
      </c>
      <c r="F83" t="s">
        <v>490</v>
      </c>
      <c r="G83" t="s">
        <v>490</v>
      </c>
      <c r="H83" t="s">
        <v>489</v>
      </c>
      <c r="I83" t="s">
        <v>489</v>
      </c>
    </row>
    <row r="84" spans="1:9">
      <c r="A84" t="s">
        <v>972</v>
      </c>
      <c r="B84" t="s">
        <v>489</v>
      </c>
      <c r="C84" t="s">
        <v>489</v>
      </c>
      <c r="D84" t="s">
        <v>489</v>
      </c>
      <c r="E84" t="s">
        <v>490</v>
      </c>
      <c r="F84" t="s">
        <v>490</v>
      </c>
      <c r="G84" t="s">
        <v>490</v>
      </c>
      <c r="H84" t="s">
        <v>489</v>
      </c>
      <c r="I84" t="s">
        <v>489</v>
      </c>
    </row>
    <row r="85" spans="1:9">
      <c r="A85" t="s">
        <v>972</v>
      </c>
      <c r="B85" t="s">
        <v>490</v>
      </c>
      <c r="C85" t="s">
        <v>490</v>
      </c>
      <c r="D85" t="s">
        <v>490</v>
      </c>
      <c r="E85" t="s">
        <v>490</v>
      </c>
      <c r="F85" t="s">
        <v>489</v>
      </c>
      <c r="G85" t="s">
        <v>489</v>
      </c>
      <c r="H85" t="s">
        <v>490</v>
      </c>
      <c r="I85" t="s">
        <v>489</v>
      </c>
    </row>
    <row r="86" spans="1:9">
      <c r="A86" t="s">
        <v>972</v>
      </c>
      <c r="B86" t="s">
        <v>489</v>
      </c>
      <c r="C86" t="s">
        <v>489</v>
      </c>
      <c r="D86" t="s">
        <v>489</v>
      </c>
      <c r="E86" t="s">
        <v>489</v>
      </c>
      <c r="F86" t="s">
        <v>490</v>
      </c>
      <c r="G86" t="s">
        <v>489</v>
      </c>
      <c r="H86" t="s">
        <v>490</v>
      </c>
      <c r="I86" t="s">
        <v>489</v>
      </c>
    </row>
    <row r="87" spans="1:9">
      <c r="A87" t="s">
        <v>972</v>
      </c>
      <c r="B87" t="s">
        <v>489</v>
      </c>
      <c r="C87" t="s">
        <v>489</v>
      </c>
      <c r="D87" t="s">
        <v>489</v>
      </c>
      <c r="E87" t="s">
        <v>489</v>
      </c>
      <c r="F87" t="s">
        <v>490</v>
      </c>
      <c r="G87" t="s">
        <v>489</v>
      </c>
      <c r="H87" t="s">
        <v>490</v>
      </c>
      <c r="I87" t="s">
        <v>489</v>
      </c>
    </row>
    <row r="88" spans="1:9">
      <c r="A88" t="s">
        <v>972</v>
      </c>
      <c r="B88" t="s">
        <v>489</v>
      </c>
      <c r="C88" t="s">
        <v>489</v>
      </c>
      <c r="D88" t="s">
        <v>489</v>
      </c>
      <c r="E88" t="s">
        <v>489</v>
      </c>
      <c r="F88" t="s">
        <v>490</v>
      </c>
      <c r="G88" t="s">
        <v>489</v>
      </c>
      <c r="H88" t="s">
        <v>490</v>
      </c>
      <c r="I88" t="s">
        <v>489</v>
      </c>
    </row>
    <row r="89" spans="1:9">
      <c r="A89" t="s">
        <v>972</v>
      </c>
      <c r="B89" t="s">
        <v>490</v>
      </c>
      <c r="C89" t="s">
        <v>490</v>
      </c>
      <c r="D89" t="s">
        <v>489</v>
      </c>
      <c r="E89" t="s">
        <v>489</v>
      </c>
      <c r="F89" t="s">
        <v>490</v>
      </c>
      <c r="G89" t="s">
        <v>489</v>
      </c>
      <c r="H89" t="s">
        <v>490</v>
      </c>
      <c r="I89" t="s">
        <v>489</v>
      </c>
    </row>
    <row r="90" spans="1:9">
      <c r="A90" t="s">
        <v>972</v>
      </c>
      <c r="B90" t="s">
        <v>489</v>
      </c>
      <c r="C90" t="s">
        <v>489</v>
      </c>
      <c r="D90" t="s">
        <v>490</v>
      </c>
      <c r="E90" t="s">
        <v>489</v>
      </c>
      <c r="F90" t="s">
        <v>489</v>
      </c>
      <c r="G90" t="s">
        <v>490</v>
      </c>
      <c r="H90" t="s">
        <v>490</v>
      </c>
      <c r="I90" t="s">
        <v>489</v>
      </c>
    </row>
    <row r="91" spans="1:9">
      <c r="A91" t="s">
        <v>972</v>
      </c>
      <c r="B91" t="s">
        <v>489</v>
      </c>
      <c r="C91" t="s">
        <v>489</v>
      </c>
      <c r="D91" t="s">
        <v>490</v>
      </c>
      <c r="E91" t="s">
        <v>489</v>
      </c>
      <c r="F91" t="s">
        <v>490</v>
      </c>
      <c r="G91" t="s">
        <v>490</v>
      </c>
      <c r="H91" t="s">
        <v>490</v>
      </c>
      <c r="I91" t="s">
        <v>489</v>
      </c>
    </row>
    <row r="92" spans="1:9">
      <c r="A92" t="s">
        <v>972</v>
      </c>
      <c r="B92" t="s">
        <v>489</v>
      </c>
      <c r="C92" t="s">
        <v>489</v>
      </c>
      <c r="D92" t="s">
        <v>490</v>
      </c>
      <c r="E92" t="s">
        <v>489</v>
      </c>
      <c r="F92" t="s">
        <v>490</v>
      </c>
      <c r="G92" t="s">
        <v>490</v>
      </c>
      <c r="H92" t="s">
        <v>490</v>
      </c>
      <c r="I92" t="s">
        <v>489</v>
      </c>
    </row>
    <row r="93" spans="1:9">
      <c r="A93" t="s">
        <v>972</v>
      </c>
      <c r="B93" t="s">
        <v>489</v>
      </c>
      <c r="C93" t="s">
        <v>489</v>
      </c>
      <c r="D93" t="s">
        <v>490</v>
      </c>
      <c r="E93" t="s">
        <v>489</v>
      </c>
      <c r="F93" t="s">
        <v>490</v>
      </c>
      <c r="G93" t="s">
        <v>490</v>
      </c>
      <c r="H93" t="s">
        <v>490</v>
      </c>
      <c r="I93" t="s">
        <v>489</v>
      </c>
    </row>
    <row r="94" spans="1:9">
      <c r="A94" t="s">
        <v>972</v>
      </c>
      <c r="B94" t="s">
        <v>489</v>
      </c>
      <c r="C94" t="s">
        <v>489</v>
      </c>
      <c r="D94" t="s">
        <v>489</v>
      </c>
      <c r="E94" t="s">
        <v>489</v>
      </c>
      <c r="F94" t="s">
        <v>490</v>
      </c>
      <c r="G94" t="s">
        <v>489</v>
      </c>
      <c r="H94" t="s">
        <v>489</v>
      </c>
      <c r="I94" t="s">
        <v>490</v>
      </c>
    </row>
    <row r="95" spans="1:9">
      <c r="A95" t="s">
        <v>972</v>
      </c>
      <c r="B95" t="s">
        <v>489</v>
      </c>
      <c r="C95" t="s">
        <v>489</v>
      </c>
      <c r="D95" t="s">
        <v>489</v>
      </c>
      <c r="E95" t="s">
        <v>489</v>
      </c>
      <c r="F95" t="s">
        <v>490</v>
      </c>
      <c r="G95" t="s">
        <v>489</v>
      </c>
      <c r="H95" t="s">
        <v>489</v>
      </c>
      <c r="I95" t="s">
        <v>490</v>
      </c>
    </row>
    <row r="96" spans="1:9">
      <c r="A96" t="s">
        <v>972</v>
      </c>
      <c r="B96" t="s">
        <v>489</v>
      </c>
      <c r="C96" t="s">
        <v>489</v>
      </c>
      <c r="D96" t="s">
        <v>489</v>
      </c>
      <c r="E96" t="s">
        <v>489</v>
      </c>
      <c r="F96" t="s">
        <v>490</v>
      </c>
      <c r="G96" t="s">
        <v>489</v>
      </c>
      <c r="H96" t="s">
        <v>489</v>
      </c>
      <c r="I96" t="s">
        <v>490</v>
      </c>
    </row>
    <row r="97" spans="1:9">
      <c r="A97" t="s">
        <v>972</v>
      </c>
      <c r="B97" t="s">
        <v>489</v>
      </c>
      <c r="C97" t="s">
        <v>489</v>
      </c>
      <c r="D97" t="s">
        <v>489</v>
      </c>
      <c r="E97" t="s">
        <v>489</v>
      </c>
      <c r="F97" t="s">
        <v>490</v>
      </c>
      <c r="G97" t="s">
        <v>489</v>
      </c>
      <c r="H97" t="s">
        <v>489</v>
      </c>
      <c r="I97" t="s">
        <v>490</v>
      </c>
    </row>
    <row r="98" spans="1:9">
      <c r="A98" t="s">
        <v>972</v>
      </c>
      <c r="B98" t="s">
        <v>490</v>
      </c>
      <c r="C98" t="s">
        <v>489</v>
      </c>
      <c r="D98" t="s">
        <v>489</v>
      </c>
      <c r="E98" t="s">
        <v>489</v>
      </c>
      <c r="F98" t="s">
        <v>490</v>
      </c>
      <c r="G98" t="s">
        <v>489</v>
      </c>
      <c r="H98" t="s">
        <v>489</v>
      </c>
      <c r="I98" t="s">
        <v>490</v>
      </c>
    </row>
    <row r="99" spans="1:9">
      <c r="A99" t="s">
        <v>972</v>
      </c>
      <c r="B99" t="s">
        <v>489</v>
      </c>
      <c r="C99" t="s">
        <v>489</v>
      </c>
      <c r="D99" t="s">
        <v>490</v>
      </c>
      <c r="E99" t="s">
        <v>489</v>
      </c>
      <c r="F99" t="s">
        <v>490</v>
      </c>
      <c r="G99" t="s">
        <v>489</v>
      </c>
      <c r="H99" t="s">
        <v>489</v>
      </c>
      <c r="I99" t="s">
        <v>490</v>
      </c>
    </row>
    <row r="100" spans="1:9">
      <c r="A100" t="s">
        <v>972</v>
      </c>
      <c r="B100" t="s">
        <v>489</v>
      </c>
      <c r="C100" t="s">
        <v>489</v>
      </c>
      <c r="D100" t="s">
        <v>489</v>
      </c>
      <c r="E100" t="s">
        <v>489</v>
      </c>
      <c r="F100" t="s">
        <v>489</v>
      </c>
      <c r="G100" t="s">
        <v>490</v>
      </c>
      <c r="H100" t="s">
        <v>489</v>
      </c>
      <c r="I100" t="s">
        <v>490</v>
      </c>
    </row>
    <row r="101" spans="1:9">
      <c r="A101" t="s">
        <v>972</v>
      </c>
      <c r="B101" t="s">
        <v>489</v>
      </c>
      <c r="C101" t="s">
        <v>489</v>
      </c>
      <c r="D101" t="s">
        <v>489</v>
      </c>
      <c r="E101" t="s">
        <v>489</v>
      </c>
      <c r="F101" t="s">
        <v>489</v>
      </c>
      <c r="G101" t="s">
        <v>490</v>
      </c>
      <c r="H101" t="s">
        <v>489</v>
      </c>
      <c r="I101" t="s">
        <v>490</v>
      </c>
    </row>
    <row r="102" spans="1:9">
      <c r="A102" t="s">
        <v>972</v>
      </c>
      <c r="B102" t="s">
        <v>489</v>
      </c>
      <c r="C102" t="s">
        <v>489</v>
      </c>
      <c r="D102" t="s">
        <v>490</v>
      </c>
      <c r="E102" t="s">
        <v>489</v>
      </c>
      <c r="F102" t="s">
        <v>489</v>
      </c>
      <c r="G102" t="s">
        <v>490</v>
      </c>
      <c r="H102" t="s">
        <v>489</v>
      </c>
      <c r="I102" t="s">
        <v>490</v>
      </c>
    </row>
    <row r="103" spans="1:9">
      <c r="A103" t="s">
        <v>972</v>
      </c>
      <c r="B103" t="s">
        <v>489</v>
      </c>
      <c r="C103" t="s">
        <v>489</v>
      </c>
      <c r="D103" t="s">
        <v>489</v>
      </c>
      <c r="E103" t="s">
        <v>489</v>
      </c>
      <c r="F103" t="s">
        <v>490</v>
      </c>
      <c r="G103" t="s">
        <v>490</v>
      </c>
      <c r="H103" t="s">
        <v>489</v>
      </c>
      <c r="I103" t="s">
        <v>490</v>
      </c>
    </row>
    <row r="104" spans="1:9">
      <c r="A104" t="s">
        <v>972</v>
      </c>
      <c r="B104" t="s">
        <v>489</v>
      </c>
      <c r="C104" t="s">
        <v>489</v>
      </c>
      <c r="D104" t="s">
        <v>489</v>
      </c>
      <c r="E104" t="s">
        <v>489</v>
      </c>
      <c r="F104" t="s">
        <v>490</v>
      </c>
      <c r="G104" t="s">
        <v>490</v>
      </c>
      <c r="H104" t="s">
        <v>489</v>
      </c>
      <c r="I104" t="s">
        <v>490</v>
      </c>
    </row>
    <row r="105" spans="1:9">
      <c r="A105" t="s">
        <v>972</v>
      </c>
      <c r="B105" t="s">
        <v>489</v>
      </c>
      <c r="C105" t="s">
        <v>489</v>
      </c>
      <c r="D105" t="s">
        <v>489</v>
      </c>
      <c r="E105" t="s">
        <v>489</v>
      </c>
      <c r="F105" t="s">
        <v>490</v>
      </c>
      <c r="G105" t="s">
        <v>490</v>
      </c>
      <c r="H105" t="s">
        <v>489</v>
      </c>
      <c r="I105" t="s">
        <v>490</v>
      </c>
    </row>
    <row r="106" spans="1:9">
      <c r="A106" t="s">
        <v>972</v>
      </c>
      <c r="B106" t="s">
        <v>489</v>
      </c>
      <c r="C106" t="s">
        <v>489</v>
      </c>
      <c r="D106" t="s">
        <v>490</v>
      </c>
      <c r="E106" t="s">
        <v>489</v>
      </c>
      <c r="F106" t="s">
        <v>490</v>
      </c>
      <c r="G106" t="s">
        <v>490</v>
      </c>
      <c r="H106" t="s">
        <v>489</v>
      </c>
      <c r="I106" t="s">
        <v>490</v>
      </c>
    </row>
    <row r="107" spans="1:9">
      <c r="A107" t="s">
        <v>972</v>
      </c>
      <c r="B107" t="s">
        <v>489</v>
      </c>
      <c r="C107" t="s">
        <v>489</v>
      </c>
      <c r="D107" t="s">
        <v>490</v>
      </c>
      <c r="E107" t="s">
        <v>489</v>
      </c>
      <c r="F107" t="s">
        <v>490</v>
      </c>
      <c r="G107" t="s">
        <v>490</v>
      </c>
      <c r="H107" t="s">
        <v>489</v>
      </c>
      <c r="I107" t="s">
        <v>490</v>
      </c>
    </row>
    <row r="108" spans="1:9">
      <c r="A108" t="s">
        <v>972</v>
      </c>
      <c r="B108" t="s">
        <v>489</v>
      </c>
      <c r="C108" t="s">
        <v>489</v>
      </c>
      <c r="D108" t="s">
        <v>490</v>
      </c>
      <c r="E108" t="s">
        <v>489</v>
      </c>
      <c r="F108" t="s">
        <v>490</v>
      </c>
      <c r="G108" t="s">
        <v>490</v>
      </c>
      <c r="H108" t="s">
        <v>489</v>
      </c>
      <c r="I108" t="s">
        <v>490</v>
      </c>
    </row>
    <row r="109" spans="1:9">
      <c r="A109" t="s">
        <v>972</v>
      </c>
      <c r="B109" t="s">
        <v>489</v>
      </c>
      <c r="C109" t="s">
        <v>489</v>
      </c>
      <c r="D109" t="s">
        <v>489</v>
      </c>
      <c r="E109" t="s">
        <v>490</v>
      </c>
      <c r="F109" t="s">
        <v>490</v>
      </c>
      <c r="G109" t="s">
        <v>490</v>
      </c>
      <c r="H109" t="s">
        <v>489</v>
      </c>
      <c r="I109" t="s">
        <v>490</v>
      </c>
    </row>
    <row r="110" spans="1:9">
      <c r="A110" t="s">
        <v>972</v>
      </c>
      <c r="B110" t="s">
        <v>489</v>
      </c>
      <c r="C110" t="s">
        <v>489</v>
      </c>
      <c r="D110" t="s">
        <v>490</v>
      </c>
      <c r="E110" t="s">
        <v>490</v>
      </c>
      <c r="F110" t="s">
        <v>490</v>
      </c>
      <c r="G110" t="s">
        <v>490</v>
      </c>
      <c r="H110" t="s">
        <v>489</v>
      </c>
      <c r="I110" t="s">
        <v>490</v>
      </c>
    </row>
    <row r="111" spans="1:9">
      <c r="A111" t="s">
        <v>972</v>
      </c>
      <c r="B111" t="s">
        <v>489</v>
      </c>
      <c r="C111" t="s">
        <v>489</v>
      </c>
      <c r="D111" t="s">
        <v>489</v>
      </c>
      <c r="E111" t="s">
        <v>489</v>
      </c>
      <c r="F111" t="s">
        <v>489</v>
      </c>
      <c r="G111" t="s">
        <v>489</v>
      </c>
      <c r="H111" t="s">
        <v>490</v>
      </c>
      <c r="I111" t="s">
        <v>490</v>
      </c>
    </row>
    <row r="112" spans="1:9">
      <c r="A112" t="s">
        <v>972</v>
      </c>
      <c r="B112" t="s">
        <v>489</v>
      </c>
      <c r="C112" t="s">
        <v>489</v>
      </c>
      <c r="D112" t="s">
        <v>489</v>
      </c>
      <c r="E112" t="s">
        <v>490</v>
      </c>
      <c r="F112" t="s">
        <v>489</v>
      </c>
      <c r="G112" t="s">
        <v>489</v>
      </c>
      <c r="H112" t="s">
        <v>490</v>
      </c>
      <c r="I112" t="s">
        <v>490</v>
      </c>
    </row>
    <row r="113" spans="1:9">
      <c r="A113" t="s">
        <v>972</v>
      </c>
      <c r="B113" t="s">
        <v>489</v>
      </c>
      <c r="C113" t="s">
        <v>489</v>
      </c>
      <c r="D113" t="s">
        <v>490</v>
      </c>
      <c r="E113" t="s">
        <v>490</v>
      </c>
      <c r="F113" t="s">
        <v>489</v>
      </c>
      <c r="G113" t="s">
        <v>489</v>
      </c>
      <c r="H113" t="s">
        <v>490</v>
      </c>
      <c r="I113" t="s">
        <v>490</v>
      </c>
    </row>
    <row r="114" spans="1:9">
      <c r="A114" t="s">
        <v>972</v>
      </c>
      <c r="B114" t="s">
        <v>489</v>
      </c>
      <c r="C114" t="s">
        <v>489</v>
      </c>
      <c r="D114" t="s">
        <v>489</v>
      </c>
      <c r="E114" t="s">
        <v>489</v>
      </c>
      <c r="F114" t="s">
        <v>490</v>
      </c>
      <c r="G114" t="s">
        <v>489</v>
      </c>
      <c r="H114" t="s">
        <v>490</v>
      </c>
      <c r="I114" t="s">
        <v>490</v>
      </c>
    </row>
    <row r="115" spans="1:9">
      <c r="A115" t="s">
        <v>972</v>
      </c>
      <c r="B115" t="s">
        <v>489</v>
      </c>
      <c r="C115" t="s">
        <v>489</v>
      </c>
      <c r="D115" t="s">
        <v>489</v>
      </c>
      <c r="E115" t="s">
        <v>489</v>
      </c>
      <c r="F115" t="s">
        <v>490</v>
      </c>
      <c r="G115" t="s">
        <v>489</v>
      </c>
      <c r="H115" t="s">
        <v>490</v>
      </c>
      <c r="I115" t="s">
        <v>490</v>
      </c>
    </row>
    <row r="116" spans="1:9">
      <c r="A116" t="s">
        <v>972</v>
      </c>
      <c r="B116" t="s">
        <v>489</v>
      </c>
      <c r="C116" t="s">
        <v>489</v>
      </c>
      <c r="D116" t="s">
        <v>489</v>
      </c>
      <c r="E116" t="s">
        <v>489</v>
      </c>
      <c r="F116" t="s">
        <v>490</v>
      </c>
      <c r="G116" t="s">
        <v>489</v>
      </c>
      <c r="H116" t="s">
        <v>490</v>
      </c>
      <c r="I116" t="s">
        <v>490</v>
      </c>
    </row>
    <row r="117" spans="1:9">
      <c r="A117" t="s">
        <v>972</v>
      </c>
      <c r="B117" t="s">
        <v>489</v>
      </c>
      <c r="C117" t="s">
        <v>489</v>
      </c>
      <c r="D117" t="s">
        <v>490</v>
      </c>
      <c r="E117" t="s">
        <v>489</v>
      </c>
      <c r="F117" t="s">
        <v>490</v>
      </c>
      <c r="G117" t="s">
        <v>489</v>
      </c>
      <c r="H117" t="s">
        <v>490</v>
      </c>
      <c r="I117" t="s">
        <v>490</v>
      </c>
    </row>
    <row r="118" spans="1:9">
      <c r="A118" t="s">
        <v>972</v>
      </c>
      <c r="B118" t="s">
        <v>489</v>
      </c>
      <c r="C118" t="s">
        <v>489</v>
      </c>
      <c r="D118" t="s">
        <v>490</v>
      </c>
      <c r="E118" t="s">
        <v>489</v>
      </c>
      <c r="F118" t="s">
        <v>490</v>
      </c>
      <c r="G118" t="s">
        <v>489</v>
      </c>
      <c r="H118" t="s">
        <v>490</v>
      </c>
      <c r="I118" t="s">
        <v>490</v>
      </c>
    </row>
    <row r="119" spans="1:9">
      <c r="A119" t="s">
        <v>972</v>
      </c>
      <c r="B119" t="s">
        <v>490</v>
      </c>
      <c r="C119" t="s">
        <v>489</v>
      </c>
      <c r="D119" t="s">
        <v>490</v>
      </c>
      <c r="E119" t="s">
        <v>489</v>
      </c>
      <c r="F119" t="s">
        <v>490</v>
      </c>
      <c r="G119" t="s">
        <v>489</v>
      </c>
      <c r="H119" t="s">
        <v>490</v>
      </c>
      <c r="I119" t="s">
        <v>490</v>
      </c>
    </row>
    <row r="120" spans="1:9">
      <c r="A120" t="s">
        <v>972</v>
      </c>
      <c r="B120" t="s">
        <v>489</v>
      </c>
      <c r="C120" t="s">
        <v>489</v>
      </c>
      <c r="D120" t="s">
        <v>489</v>
      </c>
      <c r="E120" t="s">
        <v>490</v>
      </c>
      <c r="F120" t="s">
        <v>490</v>
      </c>
      <c r="G120" t="s">
        <v>489</v>
      </c>
      <c r="H120" t="s">
        <v>490</v>
      </c>
      <c r="I120" t="s">
        <v>490</v>
      </c>
    </row>
    <row r="121" spans="1:9">
      <c r="A121" t="s">
        <v>972</v>
      </c>
      <c r="B121" t="s">
        <v>489</v>
      </c>
      <c r="C121" t="s">
        <v>489</v>
      </c>
      <c r="D121" t="s">
        <v>490</v>
      </c>
      <c r="E121" t="s">
        <v>490</v>
      </c>
      <c r="F121" t="s">
        <v>490</v>
      </c>
      <c r="G121" t="s">
        <v>489</v>
      </c>
      <c r="H121" t="s">
        <v>490</v>
      </c>
      <c r="I121" t="s">
        <v>490</v>
      </c>
    </row>
    <row r="122" spans="1:9">
      <c r="A122" t="s">
        <v>972</v>
      </c>
      <c r="B122" t="s">
        <v>489</v>
      </c>
      <c r="C122" t="s">
        <v>489</v>
      </c>
      <c r="D122" t="s">
        <v>490</v>
      </c>
      <c r="E122" t="s">
        <v>489</v>
      </c>
      <c r="F122" t="s">
        <v>489</v>
      </c>
      <c r="G122" t="s">
        <v>490</v>
      </c>
      <c r="H122" t="s">
        <v>490</v>
      </c>
      <c r="I122" t="s">
        <v>490</v>
      </c>
    </row>
    <row r="123" spans="1:9">
      <c r="A123" t="s">
        <v>972</v>
      </c>
      <c r="B123" t="s">
        <v>490</v>
      </c>
      <c r="C123" t="s">
        <v>490</v>
      </c>
      <c r="D123" t="s">
        <v>490</v>
      </c>
      <c r="E123" t="s">
        <v>490</v>
      </c>
      <c r="F123" t="s">
        <v>489</v>
      </c>
      <c r="G123" t="s">
        <v>490</v>
      </c>
      <c r="H123" t="s">
        <v>490</v>
      </c>
      <c r="I123" t="s">
        <v>490</v>
      </c>
    </row>
    <row r="124" spans="1:9">
      <c r="A124" t="s">
        <v>972</v>
      </c>
      <c r="B124" t="s">
        <v>490</v>
      </c>
      <c r="C124" t="s">
        <v>490</v>
      </c>
      <c r="D124" t="s">
        <v>490</v>
      </c>
      <c r="E124" t="s">
        <v>490</v>
      </c>
      <c r="F124" t="s">
        <v>489</v>
      </c>
      <c r="G124" t="s">
        <v>490</v>
      </c>
      <c r="H124" t="s">
        <v>490</v>
      </c>
      <c r="I124" t="s">
        <v>490</v>
      </c>
    </row>
    <row r="125" spans="1:9">
      <c r="A125" t="s">
        <v>972</v>
      </c>
      <c r="B125" t="s">
        <v>489</v>
      </c>
      <c r="C125" t="s">
        <v>489</v>
      </c>
      <c r="D125" t="s">
        <v>489</v>
      </c>
      <c r="E125" t="s">
        <v>489</v>
      </c>
      <c r="F125" t="s">
        <v>490</v>
      </c>
      <c r="G125" t="s">
        <v>490</v>
      </c>
      <c r="H125" t="s">
        <v>490</v>
      </c>
      <c r="I125" t="s">
        <v>490</v>
      </c>
    </row>
    <row r="126" spans="1:9">
      <c r="A126" t="s">
        <v>972</v>
      </c>
      <c r="B126" t="s">
        <v>489</v>
      </c>
      <c r="C126" t="s">
        <v>489</v>
      </c>
      <c r="D126" t="s">
        <v>489</v>
      </c>
      <c r="E126" t="s">
        <v>489</v>
      </c>
      <c r="F126" t="s">
        <v>490</v>
      </c>
      <c r="G126" t="s">
        <v>490</v>
      </c>
      <c r="H126" t="s">
        <v>490</v>
      </c>
      <c r="I126" t="s">
        <v>490</v>
      </c>
    </row>
    <row r="127" spans="1:9">
      <c r="A127" t="s">
        <v>972</v>
      </c>
      <c r="B127" t="s">
        <v>490</v>
      </c>
      <c r="C127" t="s">
        <v>489</v>
      </c>
      <c r="D127" t="s">
        <v>489</v>
      </c>
      <c r="E127" t="s">
        <v>489</v>
      </c>
      <c r="F127" t="s">
        <v>490</v>
      </c>
      <c r="G127" t="s">
        <v>490</v>
      </c>
      <c r="H127" t="s">
        <v>490</v>
      </c>
      <c r="I127" t="s">
        <v>490</v>
      </c>
    </row>
    <row r="128" spans="1:9">
      <c r="A128" t="s">
        <v>972</v>
      </c>
      <c r="B128" t="s">
        <v>489</v>
      </c>
      <c r="C128" t="s">
        <v>490</v>
      </c>
      <c r="D128" t="s">
        <v>489</v>
      </c>
      <c r="E128" t="s">
        <v>489</v>
      </c>
      <c r="F128" t="s">
        <v>490</v>
      </c>
      <c r="G128" t="s">
        <v>490</v>
      </c>
      <c r="H128" t="s">
        <v>490</v>
      </c>
      <c r="I128" t="s">
        <v>490</v>
      </c>
    </row>
    <row r="129" spans="1:9">
      <c r="A129" t="s">
        <v>972</v>
      </c>
      <c r="B129" t="s">
        <v>489</v>
      </c>
      <c r="C129" t="s">
        <v>489</v>
      </c>
      <c r="D129" t="s">
        <v>490</v>
      </c>
      <c r="E129" t="s">
        <v>489</v>
      </c>
      <c r="F129" t="s">
        <v>490</v>
      </c>
      <c r="G129" t="s">
        <v>490</v>
      </c>
      <c r="H129" t="s">
        <v>490</v>
      </c>
      <c r="I129" t="s">
        <v>490</v>
      </c>
    </row>
    <row r="130" spans="1:9">
      <c r="A130" t="s">
        <v>972</v>
      </c>
      <c r="B130" t="s">
        <v>489</v>
      </c>
      <c r="C130" t="s">
        <v>489</v>
      </c>
      <c r="D130" t="s">
        <v>490</v>
      </c>
      <c r="E130" t="s">
        <v>489</v>
      </c>
      <c r="F130" t="s">
        <v>490</v>
      </c>
      <c r="G130" t="s">
        <v>490</v>
      </c>
      <c r="H130" t="s">
        <v>490</v>
      </c>
      <c r="I130" t="s">
        <v>490</v>
      </c>
    </row>
    <row r="131" spans="1:9">
      <c r="A131" t="s">
        <v>972</v>
      </c>
      <c r="B131" t="s">
        <v>489</v>
      </c>
      <c r="C131" t="s">
        <v>489</v>
      </c>
      <c r="D131" t="s">
        <v>490</v>
      </c>
      <c r="E131" t="s">
        <v>489</v>
      </c>
      <c r="F131" t="s">
        <v>490</v>
      </c>
      <c r="G131" t="s">
        <v>490</v>
      </c>
      <c r="H131" t="s">
        <v>490</v>
      </c>
      <c r="I131" t="s">
        <v>490</v>
      </c>
    </row>
    <row r="132" spans="1:9">
      <c r="A132" t="s">
        <v>972</v>
      </c>
      <c r="B132" t="s">
        <v>489</v>
      </c>
      <c r="C132" t="s">
        <v>489</v>
      </c>
      <c r="D132" t="s">
        <v>490</v>
      </c>
      <c r="E132" t="s">
        <v>489</v>
      </c>
      <c r="F132" t="s">
        <v>490</v>
      </c>
      <c r="G132" t="s">
        <v>490</v>
      </c>
      <c r="H132" t="s">
        <v>490</v>
      </c>
      <c r="I132" t="s">
        <v>490</v>
      </c>
    </row>
    <row r="133" spans="1:9">
      <c r="A133" t="s">
        <v>972</v>
      </c>
      <c r="B133" t="s">
        <v>490</v>
      </c>
      <c r="C133" t="s">
        <v>489</v>
      </c>
      <c r="D133" t="s">
        <v>490</v>
      </c>
      <c r="E133" t="s">
        <v>489</v>
      </c>
      <c r="F133" t="s">
        <v>490</v>
      </c>
      <c r="G133" t="s">
        <v>490</v>
      </c>
      <c r="H133" t="s">
        <v>490</v>
      </c>
      <c r="I133" t="s">
        <v>490</v>
      </c>
    </row>
    <row r="134" spans="1:9">
      <c r="A134" t="s">
        <v>972</v>
      </c>
      <c r="B134" t="s">
        <v>490</v>
      </c>
      <c r="C134" t="s">
        <v>489</v>
      </c>
      <c r="D134" t="s">
        <v>490</v>
      </c>
      <c r="E134" t="s">
        <v>489</v>
      </c>
      <c r="F134" t="s">
        <v>490</v>
      </c>
      <c r="G134" t="s">
        <v>490</v>
      </c>
      <c r="H134" t="s">
        <v>490</v>
      </c>
      <c r="I134" t="s">
        <v>490</v>
      </c>
    </row>
    <row r="135" spans="1:9">
      <c r="A135" t="s">
        <v>972</v>
      </c>
      <c r="B135" t="s">
        <v>490</v>
      </c>
      <c r="C135" t="s">
        <v>489</v>
      </c>
      <c r="D135" t="s">
        <v>490</v>
      </c>
      <c r="E135" t="s">
        <v>489</v>
      </c>
      <c r="F135" t="s">
        <v>490</v>
      </c>
      <c r="G135" t="s">
        <v>490</v>
      </c>
      <c r="H135" t="s">
        <v>490</v>
      </c>
      <c r="I135" t="s">
        <v>490</v>
      </c>
    </row>
    <row r="136" spans="1:9">
      <c r="A136" t="s">
        <v>972</v>
      </c>
      <c r="B136" t="s">
        <v>490</v>
      </c>
      <c r="C136" t="s">
        <v>490</v>
      </c>
      <c r="D136" t="s">
        <v>490</v>
      </c>
      <c r="E136" t="s">
        <v>489</v>
      </c>
      <c r="F136" t="s">
        <v>490</v>
      </c>
      <c r="G136" t="s">
        <v>490</v>
      </c>
      <c r="H136" t="s">
        <v>490</v>
      </c>
      <c r="I136" t="s">
        <v>490</v>
      </c>
    </row>
    <row r="137" spans="1:9">
      <c r="A137" t="s">
        <v>972</v>
      </c>
      <c r="B137" t="s">
        <v>490</v>
      </c>
      <c r="C137" t="s">
        <v>490</v>
      </c>
      <c r="D137" t="s">
        <v>490</v>
      </c>
      <c r="E137" t="s">
        <v>489</v>
      </c>
      <c r="F137" t="s">
        <v>490</v>
      </c>
      <c r="G137" t="s">
        <v>490</v>
      </c>
      <c r="H137" t="s">
        <v>490</v>
      </c>
      <c r="I137" t="s">
        <v>490</v>
      </c>
    </row>
    <row r="138" spans="1:9">
      <c r="A138" t="s">
        <v>972</v>
      </c>
      <c r="B138" t="s">
        <v>489</v>
      </c>
      <c r="C138" t="s">
        <v>489</v>
      </c>
      <c r="D138" t="s">
        <v>489</v>
      </c>
      <c r="E138" t="s">
        <v>490</v>
      </c>
      <c r="F138" t="s">
        <v>490</v>
      </c>
      <c r="G138" t="s">
        <v>490</v>
      </c>
      <c r="H138" t="s">
        <v>490</v>
      </c>
      <c r="I138" t="s">
        <v>490</v>
      </c>
    </row>
    <row r="139" spans="1:9">
      <c r="A139" t="s">
        <v>972</v>
      </c>
      <c r="B139" t="s">
        <v>490</v>
      </c>
      <c r="C139" t="s">
        <v>490</v>
      </c>
      <c r="D139" t="s">
        <v>489</v>
      </c>
      <c r="E139" t="s">
        <v>490</v>
      </c>
      <c r="F139" t="s">
        <v>490</v>
      </c>
      <c r="G139" t="s">
        <v>490</v>
      </c>
      <c r="H139" t="s">
        <v>490</v>
      </c>
      <c r="I139" t="s">
        <v>490</v>
      </c>
    </row>
    <row r="140" spans="1:9">
      <c r="A140" t="s">
        <v>972</v>
      </c>
      <c r="B140" t="s">
        <v>490</v>
      </c>
      <c r="C140" t="s">
        <v>489</v>
      </c>
      <c r="D140" t="s">
        <v>490</v>
      </c>
      <c r="E140" t="s">
        <v>490</v>
      </c>
      <c r="F140" t="s">
        <v>490</v>
      </c>
      <c r="G140" t="s">
        <v>490</v>
      </c>
      <c r="H140" t="s">
        <v>490</v>
      </c>
      <c r="I140" t="s">
        <v>490</v>
      </c>
    </row>
    <row r="141" spans="1:9">
      <c r="A141" t="s">
        <v>972</v>
      </c>
      <c r="B141" t="s">
        <v>490</v>
      </c>
      <c r="C141" t="s">
        <v>489</v>
      </c>
      <c r="D141" t="s">
        <v>490</v>
      </c>
      <c r="E141" t="s">
        <v>490</v>
      </c>
      <c r="F141" t="s">
        <v>490</v>
      </c>
      <c r="G141" t="s">
        <v>490</v>
      </c>
      <c r="H141" t="s">
        <v>490</v>
      </c>
      <c r="I141" t="s">
        <v>490</v>
      </c>
    </row>
    <row r="142" spans="1:9">
      <c r="A142" t="s">
        <v>972</v>
      </c>
      <c r="B142" t="s">
        <v>490</v>
      </c>
      <c r="C142" t="s">
        <v>489</v>
      </c>
      <c r="D142" t="s">
        <v>490</v>
      </c>
      <c r="E142" t="s">
        <v>490</v>
      </c>
      <c r="F142" t="s">
        <v>490</v>
      </c>
      <c r="G142" t="s">
        <v>490</v>
      </c>
      <c r="H142" t="s">
        <v>490</v>
      </c>
      <c r="I142" t="s">
        <v>490</v>
      </c>
    </row>
    <row r="143" spans="1:9">
      <c r="B143" s="36" t="s">
        <v>1054</v>
      </c>
      <c r="C143" t="s">
        <v>1055</v>
      </c>
      <c r="D143" t="s">
        <v>1056</v>
      </c>
      <c r="E143" t="s">
        <v>1057</v>
      </c>
      <c r="F143" t="s">
        <v>1058</v>
      </c>
      <c r="G143" t="s">
        <v>1059</v>
      </c>
      <c r="H143" t="s">
        <v>1060</v>
      </c>
      <c r="I143" t="s">
        <v>1061</v>
      </c>
    </row>
    <row r="145" spans="1:9">
      <c r="B145" t="s">
        <v>656</v>
      </c>
      <c r="C145" t="s">
        <v>657</v>
      </c>
      <c r="D145" t="s">
        <v>658</v>
      </c>
      <c r="E145" t="s">
        <v>659</v>
      </c>
      <c r="F145" t="s">
        <v>660</v>
      </c>
      <c r="G145" t="s">
        <v>661</v>
      </c>
      <c r="H145" t="s">
        <v>662</v>
      </c>
      <c r="I145" t="s">
        <v>1030</v>
      </c>
    </row>
    <row r="146" spans="1:9">
      <c r="A146" t="s">
        <v>954</v>
      </c>
      <c r="B146" t="s">
        <v>489</v>
      </c>
      <c r="C146" t="s">
        <v>489</v>
      </c>
      <c r="D146" t="s">
        <v>489</v>
      </c>
      <c r="E146" t="s">
        <v>490</v>
      </c>
      <c r="F146" t="s">
        <v>490</v>
      </c>
      <c r="G146" t="s">
        <v>490</v>
      </c>
      <c r="H146" t="s">
        <v>489</v>
      </c>
      <c r="I146" t="s">
        <v>489</v>
      </c>
    </row>
    <row r="147" spans="1:9">
      <c r="A147" t="s">
        <v>954</v>
      </c>
      <c r="B147" t="s">
        <v>489</v>
      </c>
      <c r="C147" t="s">
        <v>489</v>
      </c>
      <c r="D147" t="s">
        <v>489</v>
      </c>
      <c r="E147" t="s">
        <v>489</v>
      </c>
      <c r="F147" t="s">
        <v>490</v>
      </c>
      <c r="G147" t="s">
        <v>490</v>
      </c>
      <c r="H147" t="s">
        <v>489</v>
      </c>
      <c r="I147" t="s">
        <v>489</v>
      </c>
    </row>
    <row r="148" spans="1:9">
      <c r="A148" t="s">
        <v>954</v>
      </c>
      <c r="B148" t="s">
        <v>489</v>
      </c>
      <c r="C148" t="s">
        <v>489</v>
      </c>
      <c r="D148" t="s">
        <v>489</v>
      </c>
      <c r="E148" t="s">
        <v>490</v>
      </c>
      <c r="F148" t="s">
        <v>490</v>
      </c>
      <c r="G148" t="s">
        <v>489</v>
      </c>
      <c r="H148" t="s">
        <v>489</v>
      </c>
      <c r="I148" t="s">
        <v>489</v>
      </c>
    </row>
    <row r="149" spans="1:9">
      <c r="A149" t="s">
        <v>954</v>
      </c>
      <c r="B149" t="s">
        <v>489</v>
      </c>
      <c r="C149" t="s">
        <v>489</v>
      </c>
      <c r="D149" t="s">
        <v>489</v>
      </c>
      <c r="E149" t="s">
        <v>489</v>
      </c>
      <c r="F149" t="s">
        <v>489</v>
      </c>
      <c r="G149" t="s">
        <v>490</v>
      </c>
      <c r="H149" t="s">
        <v>490</v>
      </c>
      <c r="I149" t="s">
        <v>489</v>
      </c>
    </row>
    <row r="150" spans="1:9">
      <c r="A150" t="s">
        <v>954</v>
      </c>
      <c r="B150" t="s">
        <v>489</v>
      </c>
      <c r="C150" t="s">
        <v>489</v>
      </c>
      <c r="D150" t="s">
        <v>489</v>
      </c>
      <c r="E150" t="s">
        <v>490</v>
      </c>
      <c r="F150" t="s">
        <v>490</v>
      </c>
      <c r="G150" t="s">
        <v>490</v>
      </c>
      <c r="H150" t="s">
        <v>489</v>
      </c>
      <c r="I150" t="s">
        <v>489</v>
      </c>
    </row>
    <row r="151" spans="1:9">
      <c r="A151" t="s">
        <v>954</v>
      </c>
      <c r="B151" t="s">
        <v>490</v>
      </c>
      <c r="C151" t="s">
        <v>489</v>
      </c>
      <c r="D151" t="s">
        <v>489</v>
      </c>
      <c r="E151" t="s">
        <v>490</v>
      </c>
      <c r="F151" t="s">
        <v>490</v>
      </c>
      <c r="G151" t="s">
        <v>489</v>
      </c>
      <c r="H151" t="s">
        <v>489</v>
      </c>
      <c r="I151" t="s">
        <v>489</v>
      </c>
    </row>
    <row r="152" spans="1:9">
      <c r="B152" s="36" t="s">
        <v>1062</v>
      </c>
      <c r="C152" s="36" t="s">
        <v>1063</v>
      </c>
      <c r="D152" s="36" t="s">
        <v>1063</v>
      </c>
      <c r="E152" s="36" t="s">
        <v>1064</v>
      </c>
      <c r="F152" s="36" t="s">
        <v>1065</v>
      </c>
      <c r="G152" s="36" t="s">
        <v>1064</v>
      </c>
      <c r="H152" s="36" t="s">
        <v>1062</v>
      </c>
      <c r="I152" s="36" t="s">
        <v>1063</v>
      </c>
    </row>
  </sheetData>
  <sortState ref="X4:Y11">
    <sortCondition ref="Y4:Y11"/>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AE136"/>
  <sheetViews>
    <sheetView workbookViewId="0"/>
  </sheetViews>
  <sheetFormatPr defaultRowHeight="14.4"/>
  <cols>
    <col min="1" max="1" width="31.88671875" customWidth="1"/>
    <col min="2" max="2" width="12.109375" customWidth="1"/>
    <col min="4" max="4" width="3.5546875" customWidth="1"/>
    <col min="7" max="7" width="3.33203125" customWidth="1"/>
    <col min="10" max="10" width="2.6640625" customWidth="1"/>
    <col min="13" max="13" width="4" customWidth="1"/>
    <col min="16" max="16" width="3" customWidth="1"/>
    <col min="19" max="19" width="3.33203125" customWidth="1"/>
    <col min="22" max="22" width="3" customWidth="1"/>
    <col min="25" max="25" width="3.44140625" customWidth="1"/>
    <col min="31" max="31" width="3.33203125" customWidth="1"/>
  </cols>
  <sheetData>
    <row r="1" spans="1:31">
      <c r="A1" s="3" t="s">
        <v>1304</v>
      </c>
    </row>
    <row r="2" spans="1:31">
      <c r="A2" t="s">
        <v>1292</v>
      </c>
    </row>
    <row r="4" spans="1:31">
      <c r="A4" t="s">
        <v>1216</v>
      </c>
    </row>
    <row r="5" spans="1:31">
      <c r="B5" t="s">
        <v>664</v>
      </c>
      <c r="C5" t="s">
        <v>665</v>
      </c>
      <c r="D5" t="s">
        <v>666</v>
      </c>
      <c r="E5" t="s">
        <v>667</v>
      </c>
      <c r="F5" t="s">
        <v>665</v>
      </c>
      <c r="G5" t="s">
        <v>666</v>
      </c>
      <c r="H5" t="s">
        <v>668</v>
      </c>
      <c r="I5" t="s">
        <v>665</v>
      </c>
      <c r="J5" t="s">
        <v>666</v>
      </c>
      <c r="K5" t="s">
        <v>669</v>
      </c>
      <c r="L5" t="s">
        <v>665</v>
      </c>
      <c r="M5" t="s">
        <v>666</v>
      </c>
      <c r="N5" t="s">
        <v>670</v>
      </c>
      <c r="O5" t="s">
        <v>665</v>
      </c>
      <c r="P5" t="s">
        <v>666</v>
      </c>
      <c r="Q5" t="s">
        <v>671</v>
      </c>
      <c r="R5" t="s">
        <v>665</v>
      </c>
      <c r="S5" t="s">
        <v>666</v>
      </c>
      <c r="T5" t="s">
        <v>672</v>
      </c>
      <c r="U5" t="s">
        <v>665</v>
      </c>
      <c r="V5" t="s">
        <v>666</v>
      </c>
      <c r="W5" t="s">
        <v>673</v>
      </c>
      <c r="X5" t="s">
        <v>665</v>
      </c>
      <c r="Y5" t="s">
        <v>666</v>
      </c>
      <c r="Z5" t="s">
        <v>674</v>
      </c>
      <c r="AA5" t="s">
        <v>665</v>
      </c>
      <c r="AB5" t="s">
        <v>666</v>
      </c>
      <c r="AC5" t="s">
        <v>675</v>
      </c>
      <c r="AD5" t="s">
        <v>665</v>
      </c>
      <c r="AE5" t="s">
        <v>666</v>
      </c>
    </row>
    <row r="6" spans="1:31">
      <c r="A6" t="s">
        <v>974</v>
      </c>
      <c r="B6" t="s">
        <v>489</v>
      </c>
      <c r="C6" t="s">
        <v>489</v>
      </c>
      <c r="D6" t="s">
        <v>490</v>
      </c>
      <c r="E6" t="s">
        <v>489</v>
      </c>
      <c r="F6" t="s">
        <v>489</v>
      </c>
      <c r="G6" t="s">
        <v>490</v>
      </c>
      <c r="H6" t="s">
        <v>490</v>
      </c>
      <c r="I6" t="s">
        <v>490</v>
      </c>
      <c r="J6" t="s">
        <v>489</v>
      </c>
      <c r="K6" t="s">
        <v>490</v>
      </c>
      <c r="L6" t="s">
        <v>490</v>
      </c>
      <c r="M6" t="s">
        <v>489</v>
      </c>
      <c r="N6" t="s">
        <v>489</v>
      </c>
      <c r="O6" t="s">
        <v>489</v>
      </c>
      <c r="P6" t="s">
        <v>490</v>
      </c>
      <c r="Q6" t="s">
        <v>489</v>
      </c>
      <c r="R6" t="s">
        <v>489</v>
      </c>
      <c r="S6" t="s">
        <v>490</v>
      </c>
      <c r="T6" t="s">
        <v>489</v>
      </c>
      <c r="U6" t="s">
        <v>489</v>
      </c>
      <c r="V6" t="s">
        <v>490</v>
      </c>
      <c r="W6" t="s">
        <v>489</v>
      </c>
      <c r="X6" t="s">
        <v>489</v>
      </c>
      <c r="Y6" t="s">
        <v>490</v>
      </c>
      <c r="Z6" t="s">
        <v>489</v>
      </c>
      <c r="AA6" t="s">
        <v>489</v>
      </c>
      <c r="AB6" t="s">
        <v>490</v>
      </c>
      <c r="AC6" t="s">
        <v>489</v>
      </c>
      <c r="AD6" t="s">
        <v>489</v>
      </c>
      <c r="AE6" t="s">
        <v>490</v>
      </c>
    </row>
    <row r="7" spans="1:31">
      <c r="A7" t="s">
        <v>974</v>
      </c>
      <c r="B7" t="s">
        <v>489</v>
      </c>
      <c r="C7" t="s">
        <v>489</v>
      </c>
      <c r="D7" t="s">
        <v>490</v>
      </c>
      <c r="E7" t="s">
        <v>489</v>
      </c>
      <c r="F7" t="s">
        <v>489</v>
      </c>
      <c r="G7" t="s">
        <v>490</v>
      </c>
      <c r="H7" t="s">
        <v>490</v>
      </c>
      <c r="I7" t="s">
        <v>490</v>
      </c>
      <c r="J7" t="s">
        <v>489</v>
      </c>
      <c r="K7" t="s">
        <v>489</v>
      </c>
      <c r="L7" t="s">
        <v>489</v>
      </c>
      <c r="M7" t="s">
        <v>490</v>
      </c>
      <c r="N7" t="s">
        <v>490</v>
      </c>
      <c r="O7" t="s">
        <v>489</v>
      </c>
      <c r="P7" t="s">
        <v>490</v>
      </c>
      <c r="Q7" t="s">
        <v>489</v>
      </c>
      <c r="R7" t="s">
        <v>489</v>
      </c>
      <c r="S7" t="s">
        <v>490</v>
      </c>
      <c r="T7" t="s">
        <v>489</v>
      </c>
      <c r="U7" t="s">
        <v>489</v>
      </c>
      <c r="V7" t="s">
        <v>490</v>
      </c>
      <c r="W7" t="s">
        <v>489</v>
      </c>
      <c r="X7" t="s">
        <v>489</v>
      </c>
      <c r="Y7" t="s">
        <v>490</v>
      </c>
      <c r="Z7" t="s">
        <v>489</v>
      </c>
      <c r="AA7" t="s">
        <v>489</v>
      </c>
      <c r="AB7" t="s">
        <v>490</v>
      </c>
      <c r="AC7" t="s">
        <v>489</v>
      </c>
      <c r="AD7" t="s">
        <v>489</v>
      </c>
      <c r="AE7" t="s">
        <v>490</v>
      </c>
    </row>
    <row r="8" spans="1:31">
      <c r="A8" t="s">
        <v>972</v>
      </c>
      <c r="B8" t="s">
        <v>489</v>
      </c>
      <c r="C8" t="s">
        <v>489</v>
      </c>
      <c r="D8" t="s">
        <v>490</v>
      </c>
      <c r="E8" t="s">
        <v>489</v>
      </c>
      <c r="F8" t="s">
        <v>489</v>
      </c>
      <c r="G8" t="s">
        <v>490</v>
      </c>
      <c r="H8" t="s">
        <v>490</v>
      </c>
      <c r="I8" t="s">
        <v>490</v>
      </c>
      <c r="J8" t="s">
        <v>489</v>
      </c>
      <c r="K8" t="s">
        <v>489</v>
      </c>
      <c r="L8" t="s">
        <v>489</v>
      </c>
      <c r="M8" t="s">
        <v>490</v>
      </c>
      <c r="N8" t="s">
        <v>489</v>
      </c>
      <c r="O8" t="s">
        <v>490</v>
      </c>
      <c r="P8" t="s">
        <v>490</v>
      </c>
      <c r="Q8" t="s">
        <v>489</v>
      </c>
      <c r="R8" t="s">
        <v>489</v>
      </c>
      <c r="S8" t="s">
        <v>490</v>
      </c>
      <c r="T8" t="s">
        <v>489</v>
      </c>
      <c r="U8" t="s">
        <v>489</v>
      </c>
      <c r="V8" t="s">
        <v>490</v>
      </c>
      <c r="W8" t="s">
        <v>489</v>
      </c>
      <c r="X8" t="s">
        <v>489</v>
      </c>
      <c r="Y8" t="s">
        <v>490</v>
      </c>
      <c r="Z8" t="s">
        <v>489</v>
      </c>
      <c r="AA8" t="s">
        <v>489</v>
      </c>
      <c r="AB8" t="s">
        <v>490</v>
      </c>
      <c r="AC8" t="s">
        <v>489</v>
      </c>
      <c r="AD8" t="s">
        <v>489</v>
      </c>
      <c r="AE8" t="s">
        <v>490</v>
      </c>
    </row>
    <row r="9" spans="1:31">
      <c r="A9" t="s">
        <v>974</v>
      </c>
      <c r="B9" t="s">
        <v>489</v>
      </c>
      <c r="C9" t="s">
        <v>490</v>
      </c>
      <c r="D9" t="s">
        <v>490</v>
      </c>
      <c r="E9" t="s">
        <v>489</v>
      </c>
      <c r="F9" t="s">
        <v>490</v>
      </c>
      <c r="G9" t="s">
        <v>490</v>
      </c>
      <c r="H9" t="s">
        <v>490</v>
      </c>
      <c r="I9" t="s">
        <v>489</v>
      </c>
      <c r="J9" t="s">
        <v>490</v>
      </c>
      <c r="K9" t="s">
        <v>489</v>
      </c>
      <c r="L9" t="s">
        <v>489</v>
      </c>
      <c r="M9" t="s">
        <v>490</v>
      </c>
      <c r="N9" t="s">
        <v>489</v>
      </c>
      <c r="O9" t="s">
        <v>490</v>
      </c>
      <c r="P9" t="s">
        <v>490</v>
      </c>
      <c r="Q9" t="s">
        <v>489</v>
      </c>
      <c r="R9" t="s">
        <v>490</v>
      </c>
      <c r="S9" t="s">
        <v>490</v>
      </c>
      <c r="T9" t="s">
        <v>489</v>
      </c>
      <c r="U9" t="s">
        <v>489</v>
      </c>
      <c r="V9" t="s">
        <v>490</v>
      </c>
      <c r="W9" t="s">
        <v>489</v>
      </c>
      <c r="X9" t="s">
        <v>489</v>
      </c>
      <c r="Y9" t="s">
        <v>490</v>
      </c>
      <c r="Z9" t="s">
        <v>489</v>
      </c>
      <c r="AA9" t="s">
        <v>489</v>
      </c>
      <c r="AB9" t="s">
        <v>490</v>
      </c>
      <c r="AC9" t="s">
        <v>489</v>
      </c>
      <c r="AD9" t="s">
        <v>489</v>
      </c>
      <c r="AE9" t="s">
        <v>490</v>
      </c>
    </row>
    <row r="10" spans="1:31">
      <c r="A10" t="s">
        <v>973</v>
      </c>
      <c r="B10" t="s">
        <v>489</v>
      </c>
      <c r="C10" t="s">
        <v>489</v>
      </c>
      <c r="D10" t="s">
        <v>490</v>
      </c>
      <c r="E10" t="s">
        <v>489</v>
      </c>
      <c r="F10" t="s">
        <v>489</v>
      </c>
      <c r="G10" t="s">
        <v>490</v>
      </c>
      <c r="H10" t="s">
        <v>490</v>
      </c>
      <c r="I10" t="s">
        <v>490</v>
      </c>
      <c r="J10" t="s">
        <v>489</v>
      </c>
      <c r="K10" t="s">
        <v>489</v>
      </c>
      <c r="L10" t="s">
        <v>490</v>
      </c>
      <c r="M10" t="s">
        <v>490</v>
      </c>
      <c r="N10" t="s">
        <v>489</v>
      </c>
      <c r="O10" t="s">
        <v>490</v>
      </c>
      <c r="P10" t="s">
        <v>490</v>
      </c>
      <c r="Q10" t="s">
        <v>489</v>
      </c>
      <c r="R10" t="s">
        <v>490</v>
      </c>
      <c r="S10" t="s">
        <v>490</v>
      </c>
      <c r="T10" t="s">
        <v>489</v>
      </c>
      <c r="U10" t="s">
        <v>489</v>
      </c>
      <c r="V10" t="s">
        <v>490</v>
      </c>
      <c r="W10" t="s">
        <v>489</v>
      </c>
      <c r="X10" t="s">
        <v>489</v>
      </c>
      <c r="Y10" t="s">
        <v>490</v>
      </c>
      <c r="Z10" t="s">
        <v>489</v>
      </c>
      <c r="AA10" t="s">
        <v>489</v>
      </c>
      <c r="AB10" t="s">
        <v>490</v>
      </c>
      <c r="AC10" t="s">
        <v>489</v>
      </c>
      <c r="AD10" t="s">
        <v>489</v>
      </c>
      <c r="AE10" t="s">
        <v>490</v>
      </c>
    </row>
    <row r="11" spans="1:31">
      <c r="A11" t="s">
        <v>974</v>
      </c>
      <c r="B11" t="s">
        <v>489</v>
      </c>
      <c r="C11" t="s">
        <v>490</v>
      </c>
      <c r="D11" t="s">
        <v>490</v>
      </c>
      <c r="E11" t="s">
        <v>489</v>
      </c>
      <c r="F11" t="s">
        <v>490</v>
      </c>
      <c r="G11" t="s">
        <v>490</v>
      </c>
      <c r="H11" t="s">
        <v>490</v>
      </c>
      <c r="I11" t="s">
        <v>490</v>
      </c>
      <c r="J11" t="s">
        <v>489</v>
      </c>
      <c r="K11" t="s">
        <v>489</v>
      </c>
      <c r="L11" t="s">
        <v>489</v>
      </c>
      <c r="M11" t="s">
        <v>490</v>
      </c>
      <c r="N11" t="s">
        <v>489</v>
      </c>
      <c r="O11" t="s">
        <v>489</v>
      </c>
      <c r="P11" t="s">
        <v>490</v>
      </c>
      <c r="Q11" t="s">
        <v>489</v>
      </c>
      <c r="R11" t="s">
        <v>489</v>
      </c>
      <c r="S11" t="s">
        <v>490</v>
      </c>
      <c r="T11" t="s">
        <v>489</v>
      </c>
      <c r="U11" t="s">
        <v>490</v>
      </c>
      <c r="V11" t="s">
        <v>490</v>
      </c>
      <c r="W11" t="s">
        <v>489</v>
      </c>
      <c r="X11" t="s">
        <v>489</v>
      </c>
      <c r="Y11" t="s">
        <v>490</v>
      </c>
      <c r="Z11" t="s">
        <v>489</v>
      </c>
      <c r="AA11" t="s">
        <v>489</v>
      </c>
      <c r="AB11" t="s">
        <v>490</v>
      </c>
      <c r="AC11" t="s">
        <v>489</v>
      </c>
      <c r="AD11" t="s">
        <v>489</v>
      </c>
      <c r="AE11" t="s">
        <v>490</v>
      </c>
    </row>
    <row r="12" spans="1:31">
      <c r="A12" t="s">
        <v>954</v>
      </c>
      <c r="B12" t="s">
        <v>489</v>
      </c>
      <c r="C12" t="s">
        <v>490</v>
      </c>
      <c r="D12" t="s">
        <v>490</v>
      </c>
      <c r="E12" t="s">
        <v>489</v>
      </c>
      <c r="F12" t="s">
        <v>490</v>
      </c>
      <c r="G12" t="s">
        <v>490</v>
      </c>
      <c r="H12" t="s">
        <v>490</v>
      </c>
      <c r="I12" t="s">
        <v>489</v>
      </c>
      <c r="J12" t="s">
        <v>490</v>
      </c>
      <c r="K12" t="s">
        <v>489</v>
      </c>
      <c r="L12" t="s">
        <v>489</v>
      </c>
      <c r="M12" t="s">
        <v>490</v>
      </c>
      <c r="N12" t="s">
        <v>489</v>
      </c>
      <c r="O12" t="s">
        <v>489</v>
      </c>
      <c r="P12" t="s">
        <v>490</v>
      </c>
      <c r="Q12" t="s">
        <v>489</v>
      </c>
      <c r="R12" t="s">
        <v>489</v>
      </c>
      <c r="S12" t="s">
        <v>490</v>
      </c>
      <c r="T12" t="s">
        <v>490</v>
      </c>
      <c r="U12" t="s">
        <v>490</v>
      </c>
      <c r="V12" t="s">
        <v>489</v>
      </c>
      <c r="W12" t="s">
        <v>489</v>
      </c>
      <c r="X12" t="s">
        <v>489</v>
      </c>
      <c r="Y12" t="s">
        <v>490</v>
      </c>
      <c r="Z12" t="s">
        <v>489</v>
      </c>
      <c r="AA12" t="s">
        <v>489</v>
      </c>
      <c r="AB12" t="s">
        <v>490</v>
      </c>
      <c r="AC12" t="s">
        <v>489</v>
      </c>
      <c r="AD12" t="s">
        <v>489</v>
      </c>
      <c r="AE12" t="s">
        <v>490</v>
      </c>
    </row>
    <row r="13" spans="1:31">
      <c r="A13" t="s">
        <v>972</v>
      </c>
      <c r="B13" t="s">
        <v>489</v>
      </c>
      <c r="C13" t="s">
        <v>489</v>
      </c>
      <c r="D13" t="s">
        <v>490</v>
      </c>
      <c r="E13" t="s">
        <v>489</v>
      </c>
      <c r="F13" t="s">
        <v>489</v>
      </c>
      <c r="G13" t="s">
        <v>490</v>
      </c>
      <c r="H13" t="s">
        <v>490</v>
      </c>
      <c r="I13" t="s">
        <v>489</v>
      </c>
      <c r="J13" t="s">
        <v>490</v>
      </c>
      <c r="K13" t="s">
        <v>489</v>
      </c>
      <c r="L13" t="s">
        <v>490</v>
      </c>
      <c r="M13" t="s">
        <v>490</v>
      </c>
      <c r="N13" t="s">
        <v>489</v>
      </c>
      <c r="O13" t="s">
        <v>489</v>
      </c>
      <c r="P13" t="s">
        <v>490</v>
      </c>
      <c r="Q13" t="s">
        <v>489</v>
      </c>
      <c r="R13" t="s">
        <v>489</v>
      </c>
      <c r="S13" t="s">
        <v>490</v>
      </c>
      <c r="T13" t="s">
        <v>490</v>
      </c>
      <c r="U13" t="s">
        <v>490</v>
      </c>
      <c r="V13" t="s">
        <v>489</v>
      </c>
      <c r="W13" t="s">
        <v>489</v>
      </c>
      <c r="X13" t="s">
        <v>489</v>
      </c>
      <c r="Y13" t="s">
        <v>490</v>
      </c>
      <c r="Z13" t="s">
        <v>489</v>
      </c>
      <c r="AA13" t="s">
        <v>489</v>
      </c>
      <c r="AB13" t="s">
        <v>490</v>
      </c>
      <c r="AC13" t="s">
        <v>489</v>
      </c>
      <c r="AD13" t="s">
        <v>489</v>
      </c>
      <c r="AE13" t="s">
        <v>490</v>
      </c>
    </row>
    <row r="14" spans="1:31">
      <c r="A14" t="s">
        <v>972</v>
      </c>
      <c r="B14" t="s">
        <v>489</v>
      </c>
      <c r="C14" t="s">
        <v>490</v>
      </c>
      <c r="D14" t="s">
        <v>490</v>
      </c>
      <c r="E14" t="s">
        <v>489</v>
      </c>
      <c r="F14" t="s">
        <v>489</v>
      </c>
      <c r="G14" t="s">
        <v>490</v>
      </c>
      <c r="H14" t="s">
        <v>490</v>
      </c>
      <c r="I14" t="s">
        <v>490</v>
      </c>
      <c r="J14" t="s">
        <v>489</v>
      </c>
      <c r="K14" t="s">
        <v>490</v>
      </c>
      <c r="L14" t="s">
        <v>490</v>
      </c>
      <c r="M14" t="s">
        <v>489</v>
      </c>
      <c r="N14" t="s">
        <v>489</v>
      </c>
      <c r="O14" t="s">
        <v>489</v>
      </c>
      <c r="P14" t="s">
        <v>490</v>
      </c>
      <c r="Q14" t="s">
        <v>489</v>
      </c>
      <c r="R14" t="s">
        <v>489</v>
      </c>
      <c r="S14" t="s">
        <v>490</v>
      </c>
      <c r="T14" t="s">
        <v>490</v>
      </c>
      <c r="U14" t="s">
        <v>490</v>
      </c>
      <c r="V14" t="s">
        <v>489</v>
      </c>
      <c r="W14" t="s">
        <v>489</v>
      </c>
      <c r="X14" t="s">
        <v>489</v>
      </c>
      <c r="Y14" t="s">
        <v>490</v>
      </c>
      <c r="Z14" t="s">
        <v>489</v>
      </c>
      <c r="AA14" t="s">
        <v>489</v>
      </c>
      <c r="AB14" t="s">
        <v>490</v>
      </c>
      <c r="AC14" t="s">
        <v>489</v>
      </c>
      <c r="AD14" t="s">
        <v>489</v>
      </c>
      <c r="AE14" t="s">
        <v>490</v>
      </c>
    </row>
    <row r="15" spans="1:31">
      <c r="A15" t="s">
        <v>974</v>
      </c>
      <c r="B15" t="s">
        <v>489</v>
      </c>
      <c r="C15" t="s">
        <v>490</v>
      </c>
      <c r="D15" t="s">
        <v>490</v>
      </c>
      <c r="E15" t="s">
        <v>489</v>
      </c>
      <c r="F15" t="s">
        <v>490</v>
      </c>
      <c r="G15" t="s">
        <v>490</v>
      </c>
      <c r="H15" t="s">
        <v>490</v>
      </c>
      <c r="I15" t="s">
        <v>490</v>
      </c>
      <c r="J15" t="s">
        <v>489</v>
      </c>
      <c r="K15" t="s">
        <v>489</v>
      </c>
      <c r="L15" t="s">
        <v>489</v>
      </c>
      <c r="M15" t="s">
        <v>490</v>
      </c>
      <c r="N15" t="s">
        <v>490</v>
      </c>
      <c r="O15" t="s">
        <v>490</v>
      </c>
      <c r="P15" t="s">
        <v>489</v>
      </c>
      <c r="Q15" t="s">
        <v>489</v>
      </c>
      <c r="R15" t="s">
        <v>490</v>
      </c>
      <c r="S15" t="s">
        <v>490</v>
      </c>
      <c r="T15" t="s">
        <v>489</v>
      </c>
      <c r="U15" t="s">
        <v>490</v>
      </c>
      <c r="V15" t="s">
        <v>490</v>
      </c>
      <c r="W15" t="s">
        <v>489</v>
      </c>
      <c r="X15" t="s">
        <v>490</v>
      </c>
      <c r="Y15" t="s">
        <v>490</v>
      </c>
      <c r="Z15" t="s">
        <v>489</v>
      </c>
      <c r="AA15" t="s">
        <v>489</v>
      </c>
      <c r="AB15" t="s">
        <v>490</v>
      </c>
      <c r="AC15" t="s">
        <v>489</v>
      </c>
      <c r="AD15" t="s">
        <v>489</v>
      </c>
      <c r="AE15" t="s">
        <v>490</v>
      </c>
    </row>
    <row r="16" spans="1:31">
      <c r="A16" t="s">
        <v>974</v>
      </c>
      <c r="B16" t="s">
        <v>489</v>
      </c>
      <c r="C16" t="s">
        <v>490</v>
      </c>
      <c r="D16" t="s">
        <v>490</v>
      </c>
      <c r="E16" t="s">
        <v>489</v>
      </c>
      <c r="F16" t="s">
        <v>490</v>
      </c>
      <c r="G16" t="s">
        <v>490</v>
      </c>
      <c r="H16" t="s">
        <v>490</v>
      </c>
      <c r="I16" t="s">
        <v>490</v>
      </c>
      <c r="J16" t="s">
        <v>489</v>
      </c>
      <c r="K16" t="s">
        <v>489</v>
      </c>
      <c r="L16" t="s">
        <v>489</v>
      </c>
      <c r="M16" t="s">
        <v>490</v>
      </c>
      <c r="N16" t="s">
        <v>490</v>
      </c>
      <c r="O16" t="s">
        <v>490</v>
      </c>
      <c r="P16" t="s">
        <v>489</v>
      </c>
      <c r="Q16" t="s">
        <v>489</v>
      </c>
      <c r="R16" t="s">
        <v>490</v>
      </c>
      <c r="S16" t="s">
        <v>490</v>
      </c>
      <c r="T16" t="s">
        <v>489</v>
      </c>
      <c r="U16" t="s">
        <v>490</v>
      </c>
      <c r="V16" t="s">
        <v>490</v>
      </c>
      <c r="W16" t="s">
        <v>489</v>
      </c>
      <c r="X16" t="s">
        <v>490</v>
      </c>
      <c r="Y16" t="s">
        <v>490</v>
      </c>
      <c r="Z16" t="s">
        <v>489</v>
      </c>
      <c r="AA16" t="s">
        <v>489</v>
      </c>
      <c r="AB16" t="s">
        <v>490</v>
      </c>
      <c r="AC16" t="s">
        <v>489</v>
      </c>
      <c r="AD16" t="s">
        <v>489</v>
      </c>
      <c r="AE16" t="s">
        <v>490</v>
      </c>
    </row>
    <row r="17" spans="1:31">
      <c r="A17" t="s">
        <v>974</v>
      </c>
      <c r="B17" t="s">
        <v>489</v>
      </c>
      <c r="C17" t="s">
        <v>490</v>
      </c>
      <c r="D17" t="s">
        <v>490</v>
      </c>
      <c r="E17" t="s">
        <v>489</v>
      </c>
      <c r="F17" t="s">
        <v>490</v>
      </c>
      <c r="G17" t="s">
        <v>490</v>
      </c>
      <c r="H17" t="s">
        <v>490</v>
      </c>
      <c r="I17" t="s">
        <v>490</v>
      </c>
      <c r="J17" t="s">
        <v>489</v>
      </c>
      <c r="K17" t="s">
        <v>490</v>
      </c>
      <c r="L17" t="s">
        <v>490</v>
      </c>
      <c r="M17" t="s">
        <v>489</v>
      </c>
      <c r="N17" t="s">
        <v>490</v>
      </c>
      <c r="O17" t="s">
        <v>490</v>
      </c>
      <c r="P17" t="s">
        <v>489</v>
      </c>
      <c r="Q17" t="s">
        <v>489</v>
      </c>
      <c r="R17" t="s">
        <v>489</v>
      </c>
      <c r="S17" t="s">
        <v>490</v>
      </c>
      <c r="T17" t="s">
        <v>490</v>
      </c>
      <c r="U17" t="s">
        <v>490</v>
      </c>
      <c r="V17" t="s">
        <v>489</v>
      </c>
      <c r="W17" t="s">
        <v>490</v>
      </c>
      <c r="X17" t="s">
        <v>490</v>
      </c>
      <c r="Y17" t="s">
        <v>489</v>
      </c>
      <c r="Z17" t="s">
        <v>489</v>
      </c>
      <c r="AA17" t="s">
        <v>489</v>
      </c>
      <c r="AB17" t="s">
        <v>490</v>
      </c>
      <c r="AC17" t="s">
        <v>489</v>
      </c>
      <c r="AD17" t="s">
        <v>489</v>
      </c>
      <c r="AE17" t="s">
        <v>490</v>
      </c>
    </row>
    <row r="18" spans="1:31">
      <c r="A18" t="s">
        <v>974</v>
      </c>
      <c r="B18" t="s">
        <v>489</v>
      </c>
      <c r="C18" t="s">
        <v>490</v>
      </c>
      <c r="D18" t="s">
        <v>490</v>
      </c>
      <c r="E18" t="s">
        <v>489</v>
      </c>
      <c r="F18" t="s">
        <v>490</v>
      </c>
      <c r="G18" t="s">
        <v>490</v>
      </c>
      <c r="H18" t="s">
        <v>490</v>
      </c>
      <c r="I18" t="s">
        <v>490</v>
      </c>
      <c r="J18" t="s">
        <v>489</v>
      </c>
      <c r="K18" t="s">
        <v>489</v>
      </c>
      <c r="L18" t="s">
        <v>489</v>
      </c>
      <c r="M18" t="s">
        <v>490</v>
      </c>
      <c r="N18" t="s">
        <v>489</v>
      </c>
      <c r="O18" t="s">
        <v>490</v>
      </c>
      <c r="P18" t="s">
        <v>490</v>
      </c>
      <c r="Q18" t="s">
        <v>489</v>
      </c>
      <c r="R18" t="s">
        <v>490</v>
      </c>
      <c r="S18" t="s">
        <v>490</v>
      </c>
      <c r="T18" t="s">
        <v>489</v>
      </c>
      <c r="U18" t="s">
        <v>489</v>
      </c>
      <c r="V18" t="s">
        <v>490</v>
      </c>
      <c r="W18" t="s">
        <v>489</v>
      </c>
      <c r="X18" t="s">
        <v>489</v>
      </c>
      <c r="Y18" t="s">
        <v>490</v>
      </c>
      <c r="Z18" t="s">
        <v>489</v>
      </c>
      <c r="AA18" t="s">
        <v>490</v>
      </c>
      <c r="AB18" t="s">
        <v>490</v>
      </c>
      <c r="AC18" t="s">
        <v>489</v>
      </c>
      <c r="AD18" t="s">
        <v>489</v>
      </c>
      <c r="AE18" t="s">
        <v>490</v>
      </c>
    </row>
    <row r="19" spans="1:31">
      <c r="A19" t="s">
        <v>974</v>
      </c>
      <c r="B19" t="s">
        <v>489</v>
      </c>
      <c r="C19" t="s">
        <v>490</v>
      </c>
      <c r="D19" t="s">
        <v>490</v>
      </c>
      <c r="E19" t="s">
        <v>489</v>
      </c>
      <c r="F19" t="s">
        <v>490</v>
      </c>
      <c r="G19" t="s">
        <v>490</v>
      </c>
      <c r="H19" t="s">
        <v>490</v>
      </c>
      <c r="I19" t="s">
        <v>490</v>
      </c>
      <c r="J19" t="s">
        <v>489</v>
      </c>
      <c r="K19" t="s">
        <v>489</v>
      </c>
      <c r="L19" t="s">
        <v>489</v>
      </c>
      <c r="M19" t="s">
        <v>490</v>
      </c>
      <c r="N19" t="s">
        <v>489</v>
      </c>
      <c r="O19" t="s">
        <v>490</v>
      </c>
      <c r="P19" t="s">
        <v>490</v>
      </c>
      <c r="Q19" t="s">
        <v>489</v>
      </c>
      <c r="R19" t="s">
        <v>490</v>
      </c>
      <c r="S19" t="s">
        <v>490</v>
      </c>
      <c r="T19" t="s">
        <v>489</v>
      </c>
      <c r="U19" t="s">
        <v>489</v>
      </c>
      <c r="V19" t="s">
        <v>490</v>
      </c>
      <c r="W19" t="s">
        <v>489</v>
      </c>
      <c r="X19" t="s">
        <v>489</v>
      </c>
      <c r="Y19" t="s">
        <v>490</v>
      </c>
      <c r="Z19" t="s">
        <v>489</v>
      </c>
      <c r="AA19" t="s">
        <v>490</v>
      </c>
      <c r="AB19" t="s">
        <v>490</v>
      </c>
      <c r="AC19" t="s">
        <v>489</v>
      </c>
      <c r="AD19" t="s">
        <v>489</v>
      </c>
      <c r="AE19" t="s">
        <v>490</v>
      </c>
    </row>
    <row r="20" spans="1:31">
      <c r="A20" t="s">
        <v>974</v>
      </c>
      <c r="B20" t="s">
        <v>489</v>
      </c>
      <c r="C20" t="s">
        <v>490</v>
      </c>
      <c r="D20" t="s">
        <v>490</v>
      </c>
      <c r="E20" t="s">
        <v>489</v>
      </c>
      <c r="F20" t="s">
        <v>489</v>
      </c>
      <c r="G20" t="s">
        <v>490</v>
      </c>
      <c r="H20" t="s">
        <v>490</v>
      </c>
      <c r="I20" t="s">
        <v>490</v>
      </c>
      <c r="J20" t="s">
        <v>489</v>
      </c>
      <c r="K20" t="s">
        <v>489</v>
      </c>
      <c r="L20" t="s">
        <v>489</v>
      </c>
      <c r="M20" t="s">
        <v>490</v>
      </c>
      <c r="N20" t="s">
        <v>490</v>
      </c>
      <c r="O20" t="s">
        <v>490</v>
      </c>
      <c r="P20" t="s">
        <v>489</v>
      </c>
      <c r="Q20" t="s">
        <v>489</v>
      </c>
      <c r="R20" t="s">
        <v>490</v>
      </c>
      <c r="S20" t="s">
        <v>490</v>
      </c>
      <c r="T20" t="s">
        <v>489</v>
      </c>
      <c r="U20" t="s">
        <v>489</v>
      </c>
      <c r="V20" t="s">
        <v>490</v>
      </c>
      <c r="W20" t="s">
        <v>489</v>
      </c>
      <c r="X20" t="s">
        <v>490</v>
      </c>
      <c r="Y20" t="s">
        <v>490</v>
      </c>
      <c r="Z20" t="s">
        <v>489</v>
      </c>
      <c r="AA20" t="s">
        <v>490</v>
      </c>
      <c r="AB20" t="s">
        <v>490</v>
      </c>
      <c r="AC20" t="s">
        <v>489</v>
      </c>
      <c r="AD20" t="s">
        <v>489</v>
      </c>
      <c r="AE20" t="s">
        <v>490</v>
      </c>
    </row>
    <row r="21" spans="1:31">
      <c r="A21" t="s">
        <v>972</v>
      </c>
      <c r="B21" t="s">
        <v>489</v>
      </c>
      <c r="C21" t="s">
        <v>490</v>
      </c>
      <c r="D21" t="s">
        <v>490</v>
      </c>
      <c r="E21" t="s">
        <v>489</v>
      </c>
      <c r="F21" t="s">
        <v>490</v>
      </c>
      <c r="G21" t="s">
        <v>490</v>
      </c>
      <c r="H21" t="s">
        <v>490</v>
      </c>
      <c r="I21" t="s">
        <v>490</v>
      </c>
      <c r="J21" t="s">
        <v>489</v>
      </c>
      <c r="K21" t="s">
        <v>489</v>
      </c>
      <c r="L21" t="s">
        <v>490</v>
      </c>
      <c r="M21" t="s">
        <v>490</v>
      </c>
      <c r="N21" t="s">
        <v>489</v>
      </c>
      <c r="O21" t="s">
        <v>490</v>
      </c>
      <c r="P21" t="s">
        <v>490</v>
      </c>
      <c r="Q21" t="s">
        <v>489</v>
      </c>
      <c r="R21" t="s">
        <v>490</v>
      </c>
      <c r="S21" t="s">
        <v>490</v>
      </c>
      <c r="T21" t="s">
        <v>490</v>
      </c>
      <c r="U21" t="s">
        <v>490</v>
      </c>
      <c r="V21" t="s">
        <v>489</v>
      </c>
      <c r="W21" t="s">
        <v>489</v>
      </c>
      <c r="X21" t="s">
        <v>490</v>
      </c>
      <c r="Y21" t="s">
        <v>490</v>
      </c>
      <c r="Z21" t="s">
        <v>489</v>
      </c>
      <c r="AA21" t="s">
        <v>490</v>
      </c>
      <c r="AB21" t="s">
        <v>490</v>
      </c>
      <c r="AC21" t="s">
        <v>489</v>
      </c>
      <c r="AD21" t="s">
        <v>489</v>
      </c>
      <c r="AE21" t="s">
        <v>490</v>
      </c>
    </row>
    <row r="22" spans="1:31">
      <c r="A22" t="s">
        <v>974</v>
      </c>
      <c r="B22" t="s">
        <v>489</v>
      </c>
      <c r="C22" t="s">
        <v>490</v>
      </c>
      <c r="D22" t="s">
        <v>490</v>
      </c>
      <c r="E22" t="s">
        <v>489</v>
      </c>
      <c r="F22" t="s">
        <v>490</v>
      </c>
      <c r="G22" t="s">
        <v>490</v>
      </c>
      <c r="H22" t="s">
        <v>490</v>
      </c>
      <c r="I22" t="s">
        <v>490</v>
      </c>
      <c r="J22" t="s">
        <v>489</v>
      </c>
      <c r="K22" t="s">
        <v>489</v>
      </c>
      <c r="L22" t="s">
        <v>489</v>
      </c>
      <c r="M22" t="s">
        <v>490</v>
      </c>
      <c r="N22" t="s">
        <v>489</v>
      </c>
      <c r="O22" t="s">
        <v>490</v>
      </c>
      <c r="P22" t="s">
        <v>490</v>
      </c>
      <c r="Q22" t="s">
        <v>489</v>
      </c>
      <c r="R22" t="s">
        <v>490</v>
      </c>
      <c r="S22" t="s">
        <v>490</v>
      </c>
      <c r="T22" t="s">
        <v>490</v>
      </c>
      <c r="U22" t="s">
        <v>490</v>
      </c>
      <c r="V22" t="s">
        <v>489</v>
      </c>
      <c r="W22" t="s">
        <v>490</v>
      </c>
      <c r="X22" t="s">
        <v>490</v>
      </c>
      <c r="Y22" t="s">
        <v>489</v>
      </c>
      <c r="Z22" t="s">
        <v>489</v>
      </c>
      <c r="AA22" t="s">
        <v>490</v>
      </c>
      <c r="AB22" t="s">
        <v>490</v>
      </c>
      <c r="AC22" t="s">
        <v>489</v>
      </c>
      <c r="AD22" t="s">
        <v>489</v>
      </c>
      <c r="AE22" t="s">
        <v>490</v>
      </c>
    </row>
    <row r="23" spans="1:31">
      <c r="A23" t="s">
        <v>972</v>
      </c>
      <c r="B23" t="s">
        <v>489</v>
      </c>
      <c r="C23" t="s">
        <v>490</v>
      </c>
      <c r="D23" t="s">
        <v>490</v>
      </c>
      <c r="E23" t="s">
        <v>489</v>
      </c>
      <c r="F23" t="s">
        <v>490</v>
      </c>
      <c r="G23" t="s">
        <v>490</v>
      </c>
      <c r="H23" t="s">
        <v>490</v>
      </c>
      <c r="I23" t="s">
        <v>490</v>
      </c>
      <c r="J23" t="s">
        <v>489</v>
      </c>
      <c r="K23" t="s">
        <v>489</v>
      </c>
      <c r="L23" t="s">
        <v>490</v>
      </c>
      <c r="M23" t="s">
        <v>490</v>
      </c>
      <c r="N23" t="s">
        <v>489</v>
      </c>
      <c r="O23" t="s">
        <v>490</v>
      </c>
      <c r="P23" t="s">
        <v>490</v>
      </c>
      <c r="Q23" t="s">
        <v>489</v>
      </c>
      <c r="R23" t="s">
        <v>490</v>
      </c>
      <c r="S23" t="s">
        <v>490</v>
      </c>
      <c r="T23" t="s">
        <v>490</v>
      </c>
      <c r="U23" t="s">
        <v>490</v>
      </c>
      <c r="V23" t="s">
        <v>489</v>
      </c>
      <c r="W23" t="s">
        <v>490</v>
      </c>
      <c r="X23" t="s">
        <v>490</v>
      </c>
      <c r="Y23" t="s">
        <v>489</v>
      </c>
      <c r="Z23" t="s">
        <v>489</v>
      </c>
      <c r="AA23" t="s">
        <v>490</v>
      </c>
      <c r="AB23" t="s">
        <v>490</v>
      </c>
      <c r="AC23" t="s">
        <v>489</v>
      </c>
      <c r="AD23" t="s">
        <v>489</v>
      </c>
      <c r="AE23" t="s">
        <v>490</v>
      </c>
    </row>
    <row r="24" spans="1:31">
      <c r="A24" t="s">
        <v>974</v>
      </c>
      <c r="B24" t="s">
        <v>489</v>
      </c>
      <c r="C24" t="s">
        <v>490</v>
      </c>
      <c r="D24" t="s">
        <v>490</v>
      </c>
      <c r="E24" t="s">
        <v>489</v>
      </c>
      <c r="F24" t="s">
        <v>490</v>
      </c>
      <c r="G24" t="s">
        <v>490</v>
      </c>
      <c r="H24" t="s">
        <v>490</v>
      </c>
      <c r="I24" t="s">
        <v>490</v>
      </c>
      <c r="J24" t="s">
        <v>489</v>
      </c>
      <c r="K24" t="s">
        <v>489</v>
      </c>
      <c r="L24" t="s">
        <v>489</v>
      </c>
      <c r="M24" t="s">
        <v>490</v>
      </c>
      <c r="N24" t="s">
        <v>490</v>
      </c>
      <c r="O24" t="s">
        <v>490</v>
      </c>
      <c r="P24" t="s">
        <v>489</v>
      </c>
      <c r="Q24" t="s">
        <v>490</v>
      </c>
      <c r="R24" t="s">
        <v>490</v>
      </c>
      <c r="S24" t="s">
        <v>489</v>
      </c>
      <c r="T24" t="s">
        <v>490</v>
      </c>
      <c r="U24" t="s">
        <v>490</v>
      </c>
      <c r="V24" t="s">
        <v>489</v>
      </c>
      <c r="W24" t="s">
        <v>490</v>
      </c>
      <c r="X24" t="s">
        <v>490</v>
      </c>
      <c r="Y24" t="s">
        <v>489</v>
      </c>
      <c r="Z24" t="s">
        <v>489</v>
      </c>
      <c r="AA24" t="s">
        <v>490</v>
      </c>
      <c r="AB24" t="s">
        <v>490</v>
      </c>
      <c r="AC24" t="s">
        <v>489</v>
      </c>
      <c r="AD24" t="s">
        <v>489</v>
      </c>
      <c r="AE24" t="s">
        <v>490</v>
      </c>
    </row>
    <row r="25" spans="1:31">
      <c r="A25" t="s">
        <v>972</v>
      </c>
      <c r="B25" t="s">
        <v>489</v>
      </c>
      <c r="C25" t="s">
        <v>490</v>
      </c>
      <c r="D25" t="s">
        <v>490</v>
      </c>
      <c r="E25" t="s">
        <v>489</v>
      </c>
      <c r="F25" t="s">
        <v>490</v>
      </c>
      <c r="G25" t="s">
        <v>490</v>
      </c>
      <c r="H25" t="s">
        <v>490</v>
      </c>
      <c r="I25" t="s">
        <v>490</v>
      </c>
      <c r="J25" t="s">
        <v>489</v>
      </c>
      <c r="K25" t="s">
        <v>489</v>
      </c>
      <c r="L25" t="s">
        <v>489</v>
      </c>
      <c r="M25" t="s">
        <v>490</v>
      </c>
      <c r="N25" t="s">
        <v>489</v>
      </c>
      <c r="O25" t="s">
        <v>490</v>
      </c>
      <c r="P25" t="s">
        <v>490</v>
      </c>
      <c r="Q25" t="s">
        <v>490</v>
      </c>
      <c r="R25" t="s">
        <v>490</v>
      </c>
      <c r="S25" t="s">
        <v>489</v>
      </c>
      <c r="T25" t="s">
        <v>490</v>
      </c>
      <c r="U25" t="s">
        <v>490</v>
      </c>
      <c r="V25" t="s">
        <v>489</v>
      </c>
      <c r="W25" t="s">
        <v>489</v>
      </c>
      <c r="X25" t="s">
        <v>489</v>
      </c>
      <c r="Y25" t="s">
        <v>490</v>
      </c>
      <c r="Z25" t="s">
        <v>490</v>
      </c>
      <c r="AA25" t="s">
        <v>490</v>
      </c>
      <c r="AB25" t="s">
        <v>489</v>
      </c>
      <c r="AC25" t="s">
        <v>489</v>
      </c>
      <c r="AD25" t="s">
        <v>489</v>
      </c>
      <c r="AE25" t="s">
        <v>490</v>
      </c>
    </row>
    <row r="26" spans="1:31">
      <c r="A26" t="s">
        <v>972</v>
      </c>
      <c r="B26" t="s">
        <v>489</v>
      </c>
      <c r="C26" t="s">
        <v>490</v>
      </c>
      <c r="D26" t="s">
        <v>490</v>
      </c>
      <c r="E26" t="s">
        <v>489</v>
      </c>
      <c r="F26" t="s">
        <v>490</v>
      </c>
      <c r="G26" t="s">
        <v>490</v>
      </c>
      <c r="H26" t="s">
        <v>490</v>
      </c>
      <c r="I26" t="s">
        <v>490</v>
      </c>
      <c r="J26" t="s">
        <v>489</v>
      </c>
      <c r="K26" t="s">
        <v>489</v>
      </c>
      <c r="L26" t="s">
        <v>490</v>
      </c>
      <c r="M26" t="s">
        <v>490</v>
      </c>
      <c r="N26" t="s">
        <v>489</v>
      </c>
      <c r="O26" t="s">
        <v>490</v>
      </c>
      <c r="P26" t="s">
        <v>490</v>
      </c>
      <c r="Q26" t="s">
        <v>490</v>
      </c>
      <c r="R26" t="s">
        <v>490</v>
      </c>
      <c r="S26" t="s">
        <v>489</v>
      </c>
      <c r="T26" t="s">
        <v>490</v>
      </c>
      <c r="U26" t="s">
        <v>490</v>
      </c>
      <c r="V26" t="s">
        <v>489</v>
      </c>
      <c r="W26" t="s">
        <v>489</v>
      </c>
      <c r="X26" t="s">
        <v>489</v>
      </c>
      <c r="Y26" t="s">
        <v>490</v>
      </c>
      <c r="Z26" t="s">
        <v>490</v>
      </c>
      <c r="AA26" t="s">
        <v>490</v>
      </c>
      <c r="AB26" t="s">
        <v>489</v>
      </c>
      <c r="AC26" t="s">
        <v>489</v>
      </c>
      <c r="AD26" t="s">
        <v>489</v>
      </c>
      <c r="AE26" t="s">
        <v>490</v>
      </c>
    </row>
    <row r="27" spans="1:31">
      <c r="A27" t="s">
        <v>954</v>
      </c>
      <c r="B27" t="s">
        <v>489</v>
      </c>
      <c r="C27" t="s">
        <v>490</v>
      </c>
      <c r="D27" t="s">
        <v>490</v>
      </c>
      <c r="E27" t="s">
        <v>489</v>
      </c>
      <c r="F27" t="s">
        <v>490</v>
      </c>
      <c r="G27" t="s">
        <v>490</v>
      </c>
      <c r="H27" t="s">
        <v>490</v>
      </c>
      <c r="I27" t="s">
        <v>489</v>
      </c>
      <c r="J27" t="s">
        <v>490</v>
      </c>
      <c r="K27" t="s">
        <v>490</v>
      </c>
      <c r="L27" t="s">
        <v>490</v>
      </c>
      <c r="M27" t="s">
        <v>489</v>
      </c>
      <c r="N27" t="s">
        <v>489</v>
      </c>
      <c r="O27" t="s">
        <v>490</v>
      </c>
      <c r="P27" t="s">
        <v>490</v>
      </c>
      <c r="Q27" t="s">
        <v>489</v>
      </c>
      <c r="R27" t="s">
        <v>490</v>
      </c>
      <c r="S27" t="s">
        <v>490</v>
      </c>
      <c r="T27" t="s">
        <v>489</v>
      </c>
      <c r="U27" t="s">
        <v>490</v>
      </c>
      <c r="V27" t="s">
        <v>490</v>
      </c>
      <c r="W27" t="s">
        <v>489</v>
      </c>
      <c r="X27" t="s">
        <v>490</v>
      </c>
      <c r="Y27" t="s">
        <v>490</v>
      </c>
      <c r="Z27" t="s">
        <v>490</v>
      </c>
      <c r="AA27" t="s">
        <v>490</v>
      </c>
      <c r="AB27" t="s">
        <v>489</v>
      </c>
      <c r="AC27" t="s">
        <v>489</v>
      </c>
      <c r="AD27" t="s">
        <v>489</v>
      </c>
      <c r="AE27" t="s">
        <v>490</v>
      </c>
    </row>
    <row r="28" spans="1:31">
      <c r="A28" t="s">
        <v>972</v>
      </c>
      <c r="B28" t="s">
        <v>489</v>
      </c>
      <c r="C28" t="s">
        <v>489</v>
      </c>
      <c r="D28" t="s">
        <v>490</v>
      </c>
      <c r="E28" t="s">
        <v>489</v>
      </c>
      <c r="F28" t="s">
        <v>489</v>
      </c>
      <c r="G28" t="s">
        <v>490</v>
      </c>
      <c r="H28" t="s">
        <v>490</v>
      </c>
      <c r="I28" t="s">
        <v>490</v>
      </c>
      <c r="J28" t="s">
        <v>489</v>
      </c>
      <c r="K28" t="s">
        <v>489</v>
      </c>
      <c r="L28" t="s">
        <v>489</v>
      </c>
      <c r="M28" t="s">
        <v>490</v>
      </c>
      <c r="N28" t="s">
        <v>489</v>
      </c>
      <c r="O28" t="s">
        <v>489</v>
      </c>
      <c r="P28" t="s">
        <v>490</v>
      </c>
      <c r="Q28" t="s">
        <v>489</v>
      </c>
      <c r="R28" t="s">
        <v>489</v>
      </c>
      <c r="S28" t="s">
        <v>490</v>
      </c>
      <c r="T28" t="s">
        <v>490</v>
      </c>
      <c r="U28" t="s">
        <v>490</v>
      </c>
      <c r="V28" t="s">
        <v>489</v>
      </c>
      <c r="W28" t="s">
        <v>489</v>
      </c>
      <c r="X28" t="s">
        <v>490</v>
      </c>
      <c r="Y28" t="s">
        <v>490</v>
      </c>
      <c r="Z28" t="s">
        <v>490</v>
      </c>
      <c r="AA28" t="s">
        <v>490</v>
      </c>
      <c r="AB28" t="s">
        <v>489</v>
      </c>
      <c r="AC28" t="s">
        <v>489</v>
      </c>
      <c r="AD28" t="s">
        <v>489</v>
      </c>
      <c r="AE28" t="s">
        <v>490</v>
      </c>
    </row>
    <row r="29" spans="1:31">
      <c r="A29" t="s">
        <v>972</v>
      </c>
      <c r="B29" t="s">
        <v>489</v>
      </c>
      <c r="C29" t="s">
        <v>490</v>
      </c>
      <c r="D29" t="s">
        <v>490</v>
      </c>
      <c r="E29" t="s">
        <v>489</v>
      </c>
      <c r="F29" t="s">
        <v>490</v>
      </c>
      <c r="G29" t="s">
        <v>490</v>
      </c>
      <c r="H29" t="s">
        <v>490</v>
      </c>
      <c r="I29" t="s">
        <v>490</v>
      </c>
      <c r="J29" t="s">
        <v>489</v>
      </c>
      <c r="K29" t="s">
        <v>489</v>
      </c>
      <c r="L29" t="s">
        <v>490</v>
      </c>
      <c r="M29" t="s">
        <v>490</v>
      </c>
      <c r="N29" t="s">
        <v>489</v>
      </c>
      <c r="O29" t="s">
        <v>490</v>
      </c>
      <c r="P29" t="s">
        <v>490</v>
      </c>
      <c r="Q29" t="s">
        <v>489</v>
      </c>
      <c r="R29" t="s">
        <v>489</v>
      </c>
      <c r="S29" t="s">
        <v>490</v>
      </c>
      <c r="T29" t="s">
        <v>490</v>
      </c>
      <c r="U29" t="s">
        <v>490</v>
      </c>
      <c r="V29" t="s">
        <v>489</v>
      </c>
      <c r="W29" t="s">
        <v>489</v>
      </c>
      <c r="X29" t="s">
        <v>490</v>
      </c>
      <c r="Y29" t="s">
        <v>490</v>
      </c>
      <c r="Z29" t="s">
        <v>490</v>
      </c>
      <c r="AA29" t="s">
        <v>490</v>
      </c>
      <c r="AB29" t="s">
        <v>489</v>
      </c>
      <c r="AC29" t="s">
        <v>489</v>
      </c>
      <c r="AD29" t="s">
        <v>489</v>
      </c>
      <c r="AE29" t="s">
        <v>490</v>
      </c>
    </row>
    <row r="30" spans="1:31">
      <c r="A30" t="s">
        <v>972</v>
      </c>
      <c r="B30" t="s">
        <v>489</v>
      </c>
      <c r="C30" t="s">
        <v>490</v>
      </c>
      <c r="D30" t="s">
        <v>490</v>
      </c>
      <c r="E30" t="s">
        <v>489</v>
      </c>
      <c r="F30" t="s">
        <v>490</v>
      </c>
      <c r="G30" t="s">
        <v>490</v>
      </c>
      <c r="H30" t="s">
        <v>490</v>
      </c>
      <c r="I30" t="s">
        <v>490</v>
      </c>
      <c r="J30" t="s">
        <v>489</v>
      </c>
      <c r="K30" t="s">
        <v>489</v>
      </c>
      <c r="L30" t="s">
        <v>489</v>
      </c>
      <c r="M30" t="s">
        <v>490</v>
      </c>
      <c r="N30" t="s">
        <v>490</v>
      </c>
      <c r="O30" t="s">
        <v>490</v>
      </c>
      <c r="P30" t="s">
        <v>489</v>
      </c>
      <c r="Q30" t="s">
        <v>489</v>
      </c>
      <c r="R30" t="s">
        <v>490</v>
      </c>
      <c r="S30" t="s">
        <v>490</v>
      </c>
      <c r="T30" t="s">
        <v>490</v>
      </c>
      <c r="U30" t="s">
        <v>490</v>
      </c>
      <c r="V30" t="s">
        <v>489</v>
      </c>
      <c r="W30" t="s">
        <v>489</v>
      </c>
      <c r="X30" t="s">
        <v>490</v>
      </c>
      <c r="Y30" t="s">
        <v>490</v>
      </c>
      <c r="Z30" t="s">
        <v>490</v>
      </c>
      <c r="AA30" t="s">
        <v>490</v>
      </c>
      <c r="AB30" t="s">
        <v>489</v>
      </c>
      <c r="AC30" t="s">
        <v>489</v>
      </c>
      <c r="AD30" t="s">
        <v>489</v>
      </c>
      <c r="AE30" t="s">
        <v>490</v>
      </c>
    </row>
    <row r="31" spans="1:31">
      <c r="A31" t="s">
        <v>972</v>
      </c>
      <c r="B31" t="s">
        <v>489</v>
      </c>
      <c r="C31" t="s">
        <v>489</v>
      </c>
      <c r="D31" t="s">
        <v>490</v>
      </c>
      <c r="E31" t="s">
        <v>489</v>
      </c>
      <c r="F31" t="s">
        <v>489</v>
      </c>
      <c r="G31" t="s">
        <v>490</v>
      </c>
      <c r="H31" t="s">
        <v>490</v>
      </c>
      <c r="I31" t="s">
        <v>489</v>
      </c>
      <c r="J31" t="s">
        <v>490</v>
      </c>
      <c r="K31" t="s">
        <v>490</v>
      </c>
      <c r="L31" t="s">
        <v>490</v>
      </c>
      <c r="M31" t="s">
        <v>489</v>
      </c>
      <c r="N31" t="s">
        <v>490</v>
      </c>
      <c r="O31" t="s">
        <v>490</v>
      </c>
      <c r="P31" t="s">
        <v>489</v>
      </c>
      <c r="Q31" t="s">
        <v>490</v>
      </c>
      <c r="R31" t="s">
        <v>490</v>
      </c>
      <c r="S31" t="s">
        <v>489</v>
      </c>
      <c r="T31" t="s">
        <v>490</v>
      </c>
      <c r="U31" t="s">
        <v>490</v>
      </c>
      <c r="V31" t="s">
        <v>489</v>
      </c>
      <c r="W31" t="s">
        <v>489</v>
      </c>
      <c r="X31" t="s">
        <v>490</v>
      </c>
      <c r="Y31" t="s">
        <v>490</v>
      </c>
      <c r="Z31" t="s">
        <v>490</v>
      </c>
      <c r="AA31" t="s">
        <v>490</v>
      </c>
      <c r="AB31" t="s">
        <v>489</v>
      </c>
      <c r="AC31" t="s">
        <v>489</v>
      </c>
      <c r="AD31" t="s">
        <v>489</v>
      </c>
      <c r="AE31" t="s">
        <v>490</v>
      </c>
    </row>
    <row r="32" spans="1:31">
      <c r="A32" t="s">
        <v>972</v>
      </c>
      <c r="B32" t="s">
        <v>489</v>
      </c>
      <c r="C32" t="s">
        <v>489</v>
      </c>
      <c r="D32" t="s">
        <v>490</v>
      </c>
      <c r="E32" t="s">
        <v>489</v>
      </c>
      <c r="F32" t="s">
        <v>489</v>
      </c>
      <c r="G32" t="s">
        <v>490</v>
      </c>
      <c r="H32" t="s">
        <v>490</v>
      </c>
      <c r="I32" t="s">
        <v>490</v>
      </c>
      <c r="J32" t="s">
        <v>489</v>
      </c>
      <c r="K32" t="s">
        <v>489</v>
      </c>
      <c r="L32" t="s">
        <v>489</v>
      </c>
      <c r="M32" t="s">
        <v>490</v>
      </c>
      <c r="N32" t="s">
        <v>490</v>
      </c>
      <c r="O32" t="s">
        <v>490</v>
      </c>
      <c r="P32" t="s">
        <v>489</v>
      </c>
      <c r="Q32" t="s">
        <v>489</v>
      </c>
      <c r="R32" t="s">
        <v>490</v>
      </c>
      <c r="S32" t="s">
        <v>490</v>
      </c>
      <c r="T32" t="s">
        <v>490</v>
      </c>
      <c r="U32" t="s">
        <v>490</v>
      </c>
      <c r="V32" t="s">
        <v>489</v>
      </c>
      <c r="W32" t="s">
        <v>490</v>
      </c>
      <c r="X32" t="s">
        <v>490</v>
      </c>
      <c r="Y32" t="s">
        <v>489</v>
      </c>
      <c r="Z32" t="s">
        <v>490</v>
      </c>
      <c r="AA32" t="s">
        <v>490</v>
      </c>
      <c r="AB32" t="s">
        <v>489</v>
      </c>
      <c r="AC32" t="s">
        <v>489</v>
      </c>
      <c r="AD32" t="s">
        <v>489</v>
      </c>
      <c r="AE32" t="s">
        <v>490</v>
      </c>
    </row>
    <row r="33" spans="1:31">
      <c r="A33" t="s">
        <v>972</v>
      </c>
      <c r="B33" t="s">
        <v>489</v>
      </c>
      <c r="C33" t="s">
        <v>490</v>
      </c>
      <c r="D33" t="s">
        <v>490</v>
      </c>
      <c r="E33" t="s">
        <v>489</v>
      </c>
      <c r="F33" t="s">
        <v>489</v>
      </c>
      <c r="G33" t="s">
        <v>490</v>
      </c>
      <c r="H33" t="s">
        <v>490</v>
      </c>
      <c r="I33" t="s">
        <v>489</v>
      </c>
      <c r="J33" t="s">
        <v>490</v>
      </c>
      <c r="K33" t="s">
        <v>489</v>
      </c>
      <c r="L33" t="s">
        <v>490</v>
      </c>
      <c r="M33" t="s">
        <v>490</v>
      </c>
      <c r="N33" t="s">
        <v>490</v>
      </c>
      <c r="O33" t="s">
        <v>490</v>
      </c>
      <c r="P33" t="s">
        <v>489</v>
      </c>
      <c r="Q33" t="s">
        <v>489</v>
      </c>
      <c r="R33" t="s">
        <v>490</v>
      </c>
      <c r="S33" t="s">
        <v>490</v>
      </c>
      <c r="T33" t="s">
        <v>490</v>
      </c>
      <c r="U33" t="s">
        <v>490</v>
      </c>
      <c r="V33" t="s">
        <v>489</v>
      </c>
      <c r="W33" t="s">
        <v>490</v>
      </c>
      <c r="X33" t="s">
        <v>490</v>
      </c>
      <c r="Y33" t="s">
        <v>489</v>
      </c>
      <c r="Z33" t="s">
        <v>490</v>
      </c>
      <c r="AA33" t="s">
        <v>490</v>
      </c>
      <c r="AB33" t="s">
        <v>489</v>
      </c>
      <c r="AC33" t="s">
        <v>489</v>
      </c>
      <c r="AD33" t="s">
        <v>489</v>
      </c>
      <c r="AE33" t="s">
        <v>490</v>
      </c>
    </row>
    <row r="34" spans="1:31">
      <c r="A34" t="s">
        <v>972</v>
      </c>
      <c r="B34" t="s">
        <v>489</v>
      </c>
      <c r="C34" t="s">
        <v>490</v>
      </c>
      <c r="D34" t="s">
        <v>490</v>
      </c>
      <c r="E34" t="s">
        <v>489</v>
      </c>
      <c r="F34" t="s">
        <v>490</v>
      </c>
      <c r="G34" t="s">
        <v>490</v>
      </c>
      <c r="H34" t="s">
        <v>490</v>
      </c>
      <c r="I34" t="s">
        <v>490</v>
      </c>
      <c r="J34" t="s">
        <v>489</v>
      </c>
      <c r="K34" t="s">
        <v>490</v>
      </c>
      <c r="L34" t="s">
        <v>490</v>
      </c>
      <c r="M34" t="s">
        <v>489</v>
      </c>
      <c r="N34" t="s">
        <v>490</v>
      </c>
      <c r="O34" t="s">
        <v>490</v>
      </c>
      <c r="P34" t="s">
        <v>489</v>
      </c>
      <c r="Q34" t="s">
        <v>490</v>
      </c>
      <c r="R34" t="s">
        <v>490</v>
      </c>
      <c r="S34" t="s">
        <v>489</v>
      </c>
      <c r="T34" t="s">
        <v>490</v>
      </c>
      <c r="U34" t="s">
        <v>490</v>
      </c>
      <c r="V34" t="s">
        <v>489</v>
      </c>
      <c r="W34" t="s">
        <v>490</v>
      </c>
      <c r="X34" t="s">
        <v>490</v>
      </c>
      <c r="Y34" t="s">
        <v>489</v>
      </c>
      <c r="Z34" t="s">
        <v>490</v>
      </c>
      <c r="AA34" t="s">
        <v>490</v>
      </c>
      <c r="AB34" t="s">
        <v>489</v>
      </c>
      <c r="AC34" t="s">
        <v>489</v>
      </c>
      <c r="AD34" t="s">
        <v>489</v>
      </c>
      <c r="AE34" t="s">
        <v>490</v>
      </c>
    </row>
    <row r="35" spans="1:31">
      <c r="A35" t="s">
        <v>974</v>
      </c>
      <c r="B35" t="s">
        <v>489</v>
      </c>
      <c r="C35" t="s">
        <v>490</v>
      </c>
      <c r="D35" t="s">
        <v>490</v>
      </c>
      <c r="E35" t="s">
        <v>489</v>
      </c>
      <c r="F35" t="s">
        <v>490</v>
      </c>
      <c r="G35" t="s">
        <v>490</v>
      </c>
      <c r="H35" t="s">
        <v>490</v>
      </c>
      <c r="I35" t="s">
        <v>489</v>
      </c>
      <c r="J35" t="s">
        <v>490</v>
      </c>
      <c r="K35" t="s">
        <v>489</v>
      </c>
      <c r="L35" t="s">
        <v>489</v>
      </c>
      <c r="M35" t="s">
        <v>490</v>
      </c>
      <c r="N35" t="s">
        <v>489</v>
      </c>
      <c r="O35" t="s">
        <v>490</v>
      </c>
      <c r="P35" t="s">
        <v>490</v>
      </c>
      <c r="Q35" t="s">
        <v>489</v>
      </c>
      <c r="R35" t="s">
        <v>490</v>
      </c>
      <c r="S35" t="s">
        <v>490</v>
      </c>
      <c r="T35" t="s">
        <v>489</v>
      </c>
      <c r="U35" t="s">
        <v>489</v>
      </c>
      <c r="V35" t="s">
        <v>490</v>
      </c>
      <c r="W35" t="s">
        <v>489</v>
      </c>
      <c r="X35" t="s">
        <v>489</v>
      </c>
      <c r="Y35" t="s">
        <v>490</v>
      </c>
      <c r="Z35" t="s">
        <v>489</v>
      </c>
      <c r="AA35" t="s">
        <v>489</v>
      </c>
      <c r="AB35" t="s">
        <v>490</v>
      </c>
      <c r="AC35" t="s">
        <v>489</v>
      </c>
      <c r="AD35" t="s">
        <v>490</v>
      </c>
      <c r="AE35" t="s">
        <v>490</v>
      </c>
    </row>
    <row r="36" spans="1:31">
      <c r="A36" t="s">
        <v>974</v>
      </c>
      <c r="B36" t="s">
        <v>489</v>
      </c>
      <c r="C36" t="s">
        <v>490</v>
      </c>
      <c r="D36" t="s">
        <v>490</v>
      </c>
      <c r="E36" t="s">
        <v>489</v>
      </c>
      <c r="F36" t="s">
        <v>490</v>
      </c>
      <c r="G36" t="s">
        <v>490</v>
      </c>
      <c r="H36" t="s">
        <v>490</v>
      </c>
      <c r="I36" t="s">
        <v>490</v>
      </c>
      <c r="J36" t="s">
        <v>489</v>
      </c>
      <c r="K36" t="s">
        <v>489</v>
      </c>
      <c r="L36" t="s">
        <v>489</v>
      </c>
      <c r="M36" t="s">
        <v>490</v>
      </c>
      <c r="N36" t="s">
        <v>490</v>
      </c>
      <c r="O36" t="s">
        <v>490</v>
      </c>
      <c r="P36" t="s">
        <v>489</v>
      </c>
      <c r="Q36" t="s">
        <v>489</v>
      </c>
      <c r="R36" t="s">
        <v>490</v>
      </c>
      <c r="S36" t="s">
        <v>490</v>
      </c>
      <c r="T36" t="s">
        <v>489</v>
      </c>
      <c r="U36" t="s">
        <v>489</v>
      </c>
      <c r="V36" t="s">
        <v>490</v>
      </c>
      <c r="W36" t="s">
        <v>489</v>
      </c>
      <c r="X36" t="s">
        <v>489</v>
      </c>
      <c r="Y36" t="s">
        <v>490</v>
      </c>
      <c r="Z36" t="s">
        <v>489</v>
      </c>
      <c r="AA36" t="s">
        <v>489</v>
      </c>
      <c r="AB36" t="s">
        <v>490</v>
      </c>
      <c r="AC36" t="s">
        <v>489</v>
      </c>
      <c r="AD36" t="s">
        <v>490</v>
      </c>
      <c r="AE36" t="s">
        <v>490</v>
      </c>
    </row>
    <row r="37" spans="1:31">
      <c r="A37" t="s">
        <v>974</v>
      </c>
      <c r="B37" t="s">
        <v>489</v>
      </c>
      <c r="C37" t="s">
        <v>489</v>
      </c>
      <c r="D37" t="s">
        <v>490</v>
      </c>
      <c r="E37" t="s">
        <v>489</v>
      </c>
      <c r="F37" t="s">
        <v>489</v>
      </c>
      <c r="G37" t="s">
        <v>490</v>
      </c>
      <c r="H37" t="s">
        <v>490</v>
      </c>
      <c r="I37" t="s">
        <v>490</v>
      </c>
      <c r="J37" t="s">
        <v>489</v>
      </c>
      <c r="K37" t="s">
        <v>489</v>
      </c>
      <c r="L37" t="s">
        <v>489</v>
      </c>
      <c r="M37" t="s">
        <v>490</v>
      </c>
      <c r="N37" t="s">
        <v>489</v>
      </c>
      <c r="O37" t="s">
        <v>490</v>
      </c>
      <c r="P37" t="s">
        <v>490</v>
      </c>
      <c r="Q37" t="s">
        <v>489</v>
      </c>
      <c r="R37" t="s">
        <v>490</v>
      </c>
      <c r="S37" t="s">
        <v>490</v>
      </c>
      <c r="T37" t="s">
        <v>489</v>
      </c>
      <c r="U37" t="s">
        <v>490</v>
      </c>
      <c r="V37" t="s">
        <v>490</v>
      </c>
      <c r="W37" t="s">
        <v>489</v>
      </c>
      <c r="X37" t="s">
        <v>490</v>
      </c>
      <c r="Y37" t="s">
        <v>490</v>
      </c>
      <c r="Z37" t="s">
        <v>489</v>
      </c>
      <c r="AA37" t="s">
        <v>489</v>
      </c>
      <c r="AB37" t="s">
        <v>490</v>
      </c>
      <c r="AC37" t="s">
        <v>489</v>
      </c>
      <c r="AD37" t="s">
        <v>490</v>
      </c>
      <c r="AE37" t="s">
        <v>490</v>
      </c>
    </row>
    <row r="38" spans="1:31">
      <c r="A38" t="s">
        <v>974</v>
      </c>
      <c r="B38" t="s">
        <v>489</v>
      </c>
      <c r="C38" t="s">
        <v>490</v>
      </c>
      <c r="D38" t="s">
        <v>490</v>
      </c>
      <c r="E38" t="s">
        <v>489</v>
      </c>
      <c r="F38" t="s">
        <v>490</v>
      </c>
      <c r="G38" t="s">
        <v>490</v>
      </c>
      <c r="H38" t="s">
        <v>490</v>
      </c>
      <c r="I38" t="s">
        <v>490</v>
      </c>
      <c r="J38" t="s">
        <v>489</v>
      </c>
      <c r="K38" t="s">
        <v>489</v>
      </c>
      <c r="L38" t="s">
        <v>489</v>
      </c>
      <c r="M38" t="s">
        <v>490</v>
      </c>
      <c r="N38" t="s">
        <v>489</v>
      </c>
      <c r="O38" t="s">
        <v>490</v>
      </c>
      <c r="P38" t="s">
        <v>490</v>
      </c>
      <c r="Q38" t="s">
        <v>489</v>
      </c>
      <c r="R38" t="s">
        <v>490</v>
      </c>
      <c r="S38" t="s">
        <v>490</v>
      </c>
      <c r="T38" t="s">
        <v>489</v>
      </c>
      <c r="U38" t="s">
        <v>490</v>
      </c>
      <c r="V38" t="s">
        <v>490</v>
      </c>
      <c r="W38" t="s">
        <v>489</v>
      </c>
      <c r="X38" t="s">
        <v>490</v>
      </c>
      <c r="Y38" t="s">
        <v>490</v>
      </c>
      <c r="Z38" t="s">
        <v>489</v>
      </c>
      <c r="AA38" t="s">
        <v>489</v>
      </c>
      <c r="AB38" t="s">
        <v>490</v>
      </c>
      <c r="AC38" t="s">
        <v>489</v>
      </c>
      <c r="AD38" t="s">
        <v>490</v>
      </c>
      <c r="AE38" t="s">
        <v>490</v>
      </c>
    </row>
    <row r="39" spans="1:31">
      <c r="A39" t="s">
        <v>972</v>
      </c>
      <c r="B39" t="s">
        <v>489</v>
      </c>
      <c r="C39" t="s">
        <v>489</v>
      </c>
      <c r="D39" t="s">
        <v>490</v>
      </c>
      <c r="E39" t="s">
        <v>489</v>
      </c>
      <c r="F39" t="s">
        <v>489</v>
      </c>
      <c r="G39" t="s">
        <v>490</v>
      </c>
      <c r="H39" t="s">
        <v>490</v>
      </c>
      <c r="I39" t="s">
        <v>490</v>
      </c>
      <c r="J39" t="s">
        <v>489</v>
      </c>
      <c r="K39" t="s">
        <v>489</v>
      </c>
      <c r="L39" t="s">
        <v>489</v>
      </c>
      <c r="M39" t="s">
        <v>490</v>
      </c>
      <c r="N39" t="s">
        <v>489</v>
      </c>
      <c r="O39" t="s">
        <v>490</v>
      </c>
      <c r="P39" t="s">
        <v>490</v>
      </c>
      <c r="Q39" t="s">
        <v>489</v>
      </c>
      <c r="R39" t="s">
        <v>489</v>
      </c>
      <c r="S39" t="s">
        <v>490</v>
      </c>
      <c r="T39" t="s">
        <v>490</v>
      </c>
      <c r="U39" t="s">
        <v>490</v>
      </c>
      <c r="V39" t="s">
        <v>489</v>
      </c>
      <c r="W39" t="s">
        <v>489</v>
      </c>
      <c r="X39" t="s">
        <v>490</v>
      </c>
      <c r="Y39" t="s">
        <v>490</v>
      </c>
      <c r="Z39" t="s">
        <v>489</v>
      </c>
      <c r="AA39" t="s">
        <v>489</v>
      </c>
      <c r="AB39" t="s">
        <v>490</v>
      </c>
      <c r="AC39" t="s">
        <v>489</v>
      </c>
      <c r="AD39" t="s">
        <v>490</v>
      </c>
      <c r="AE39" t="s">
        <v>490</v>
      </c>
    </row>
    <row r="40" spans="1:31">
      <c r="A40" t="s">
        <v>974</v>
      </c>
      <c r="B40" t="s">
        <v>489</v>
      </c>
      <c r="C40" t="s">
        <v>490</v>
      </c>
      <c r="D40" t="s">
        <v>490</v>
      </c>
      <c r="E40" t="s">
        <v>489</v>
      </c>
      <c r="F40" t="s">
        <v>490</v>
      </c>
      <c r="G40" t="s">
        <v>490</v>
      </c>
      <c r="H40" t="s">
        <v>490</v>
      </c>
      <c r="I40" t="s">
        <v>490</v>
      </c>
      <c r="J40" t="s">
        <v>489</v>
      </c>
      <c r="K40" t="s">
        <v>490</v>
      </c>
      <c r="L40" t="s">
        <v>490</v>
      </c>
      <c r="M40" t="s">
        <v>489</v>
      </c>
      <c r="N40" t="s">
        <v>489</v>
      </c>
      <c r="O40" t="s">
        <v>490</v>
      </c>
      <c r="P40" t="s">
        <v>490</v>
      </c>
      <c r="Q40" t="s">
        <v>489</v>
      </c>
      <c r="R40" t="s">
        <v>490</v>
      </c>
      <c r="S40" t="s">
        <v>490</v>
      </c>
      <c r="T40" t="s">
        <v>490</v>
      </c>
      <c r="U40" t="s">
        <v>490</v>
      </c>
      <c r="V40" t="s">
        <v>489</v>
      </c>
      <c r="W40" t="s">
        <v>489</v>
      </c>
      <c r="X40" t="s">
        <v>490</v>
      </c>
      <c r="Y40" t="s">
        <v>490</v>
      </c>
      <c r="Z40" t="s">
        <v>489</v>
      </c>
      <c r="AA40" t="s">
        <v>489</v>
      </c>
      <c r="AB40" t="s">
        <v>490</v>
      </c>
      <c r="AC40" t="s">
        <v>489</v>
      </c>
      <c r="AD40" t="s">
        <v>490</v>
      </c>
      <c r="AE40" t="s">
        <v>490</v>
      </c>
    </row>
    <row r="41" spans="1:31">
      <c r="A41" t="s">
        <v>974</v>
      </c>
      <c r="B41" t="s">
        <v>489</v>
      </c>
      <c r="C41" t="s">
        <v>489</v>
      </c>
      <c r="D41" t="s">
        <v>490</v>
      </c>
      <c r="E41" t="s">
        <v>489</v>
      </c>
      <c r="F41" t="s">
        <v>490</v>
      </c>
      <c r="G41" t="s">
        <v>490</v>
      </c>
      <c r="H41" t="s">
        <v>490</v>
      </c>
      <c r="I41" t="s">
        <v>490</v>
      </c>
      <c r="J41" t="s">
        <v>489</v>
      </c>
      <c r="K41" t="s">
        <v>489</v>
      </c>
      <c r="L41" t="s">
        <v>489</v>
      </c>
      <c r="M41" t="s">
        <v>490</v>
      </c>
      <c r="N41" t="s">
        <v>489</v>
      </c>
      <c r="O41" t="s">
        <v>490</v>
      </c>
      <c r="P41" t="s">
        <v>490</v>
      </c>
      <c r="Q41" t="s">
        <v>489</v>
      </c>
      <c r="R41" t="s">
        <v>490</v>
      </c>
      <c r="S41" t="s">
        <v>490</v>
      </c>
      <c r="T41" t="s">
        <v>489</v>
      </c>
      <c r="U41" t="s">
        <v>489</v>
      </c>
      <c r="V41" t="s">
        <v>490</v>
      </c>
      <c r="W41" t="s">
        <v>489</v>
      </c>
      <c r="X41" t="s">
        <v>490</v>
      </c>
      <c r="Y41" t="s">
        <v>490</v>
      </c>
      <c r="Z41" t="s">
        <v>490</v>
      </c>
      <c r="AA41" t="s">
        <v>489</v>
      </c>
      <c r="AB41" t="s">
        <v>490</v>
      </c>
      <c r="AC41" t="s">
        <v>489</v>
      </c>
      <c r="AD41" t="s">
        <v>490</v>
      </c>
      <c r="AE41" t="s">
        <v>490</v>
      </c>
    </row>
    <row r="42" spans="1:31">
      <c r="A42" t="s">
        <v>974</v>
      </c>
      <c r="B42" t="s">
        <v>489</v>
      </c>
      <c r="C42" t="s">
        <v>490</v>
      </c>
      <c r="D42" t="s">
        <v>490</v>
      </c>
      <c r="E42" t="s">
        <v>489</v>
      </c>
      <c r="F42" t="s">
        <v>490</v>
      </c>
      <c r="G42" t="s">
        <v>490</v>
      </c>
      <c r="H42" t="s">
        <v>490</v>
      </c>
      <c r="I42" t="s">
        <v>489</v>
      </c>
      <c r="J42" t="s">
        <v>490</v>
      </c>
      <c r="K42" t="s">
        <v>490</v>
      </c>
      <c r="L42" t="s">
        <v>490</v>
      </c>
      <c r="M42" t="s">
        <v>489</v>
      </c>
      <c r="N42" t="s">
        <v>490</v>
      </c>
      <c r="O42" t="s">
        <v>490</v>
      </c>
      <c r="P42" t="s">
        <v>489</v>
      </c>
      <c r="Q42" t="s">
        <v>489</v>
      </c>
      <c r="R42" t="s">
        <v>490</v>
      </c>
      <c r="S42" t="s">
        <v>490</v>
      </c>
      <c r="T42" t="s">
        <v>489</v>
      </c>
      <c r="U42" t="s">
        <v>489</v>
      </c>
      <c r="V42" t="s">
        <v>490</v>
      </c>
      <c r="W42" t="s">
        <v>489</v>
      </c>
      <c r="X42" t="s">
        <v>489</v>
      </c>
      <c r="Y42" t="s">
        <v>490</v>
      </c>
      <c r="Z42" t="s">
        <v>489</v>
      </c>
      <c r="AA42" t="s">
        <v>490</v>
      </c>
      <c r="AB42" t="s">
        <v>490</v>
      </c>
      <c r="AC42" t="s">
        <v>489</v>
      </c>
      <c r="AD42" t="s">
        <v>490</v>
      </c>
      <c r="AE42" t="s">
        <v>490</v>
      </c>
    </row>
    <row r="43" spans="1:31">
      <c r="A43" t="s">
        <v>973</v>
      </c>
      <c r="B43" t="s">
        <v>489</v>
      </c>
      <c r="C43" t="s">
        <v>489</v>
      </c>
      <c r="D43" t="s">
        <v>490</v>
      </c>
      <c r="E43" t="s">
        <v>489</v>
      </c>
      <c r="F43" t="s">
        <v>489</v>
      </c>
      <c r="G43" t="s">
        <v>490</v>
      </c>
      <c r="H43" t="s">
        <v>490</v>
      </c>
      <c r="I43" t="s">
        <v>489</v>
      </c>
      <c r="J43" t="s">
        <v>490</v>
      </c>
      <c r="K43" t="s">
        <v>489</v>
      </c>
      <c r="L43" t="s">
        <v>489</v>
      </c>
      <c r="M43" t="s">
        <v>490</v>
      </c>
      <c r="N43" t="s">
        <v>489</v>
      </c>
      <c r="O43" t="s">
        <v>489</v>
      </c>
      <c r="P43" t="s">
        <v>490</v>
      </c>
      <c r="Q43" t="s">
        <v>490</v>
      </c>
      <c r="R43" t="s">
        <v>490</v>
      </c>
      <c r="S43" t="s">
        <v>489</v>
      </c>
      <c r="T43" t="s">
        <v>489</v>
      </c>
      <c r="U43" t="s">
        <v>489</v>
      </c>
      <c r="V43" t="s">
        <v>490</v>
      </c>
      <c r="W43" t="s">
        <v>489</v>
      </c>
      <c r="X43" t="s">
        <v>489</v>
      </c>
      <c r="Y43" t="s">
        <v>490</v>
      </c>
      <c r="Z43" t="s">
        <v>489</v>
      </c>
      <c r="AA43" t="s">
        <v>490</v>
      </c>
      <c r="AB43" t="s">
        <v>490</v>
      </c>
      <c r="AC43" t="s">
        <v>489</v>
      </c>
      <c r="AD43" t="s">
        <v>490</v>
      </c>
      <c r="AE43" t="s">
        <v>490</v>
      </c>
    </row>
    <row r="44" spans="1:31">
      <c r="A44" t="s">
        <v>974</v>
      </c>
      <c r="B44" t="s">
        <v>489</v>
      </c>
      <c r="C44" t="s">
        <v>490</v>
      </c>
      <c r="D44" t="s">
        <v>490</v>
      </c>
      <c r="E44" t="s">
        <v>489</v>
      </c>
      <c r="F44" t="s">
        <v>489</v>
      </c>
      <c r="G44" t="s">
        <v>490</v>
      </c>
      <c r="H44" t="s">
        <v>490</v>
      </c>
      <c r="I44" t="s">
        <v>490</v>
      </c>
      <c r="J44" t="s">
        <v>489</v>
      </c>
      <c r="K44" t="s">
        <v>489</v>
      </c>
      <c r="L44" t="s">
        <v>489</v>
      </c>
      <c r="M44" t="s">
        <v>490</v>
      </c>
      <c r="N44" t="s">
        <v>489</v>
      </c>
      <c r="O44" t="s">
        <v>490</v>
      </c>
      <c r="P44" t="s">
        <v>490</v>
      </c>
      <c r="Q44" t="s">
        <v>489</v>
      </c>
      <c r="R44" t="s">
        <v>490</v>
      </c>
      <c r="S44" t="s">
        <v>490</v>
      </c>
      <c r="T44" t="s">
        <v>489</v>
      </c>
      <c r="U44" t="s">
        <v>490</v>
      </c>
      <c r="V44" t="s">
        <v>490</v>
      </c>
      <c r="W44" t="s">
        <v>489</v>
      </c>
      <c r="X44" t="s">
        <v>490</v>
      </c>
      <c r="Y44" t="s">
        <v>490</v>
      </c>
      <c r="Z44" t="s">
        <v>489</v>
      </c>
      <c r="AA44" t="s">
        <v>490</v>
      </c>
      <c r="AB44" t="s">
        <v>490</v>
      </c>
      <c r="AC44" t="s">
        <v>489</v>
      </c>
      <c r="AD44" t="s">
        <v>490</v>
      </c>
      <c r="AE44" t="s">
        <v>490</v>
      </c>
    </row>
    <row r="45" spans="1:31">
      <c r="A45" t="s">
        <v>974</v>
      </c>
      <c r="B45" t="s">
        <v>489</v>
      </c>
      <c r="C45" t="s">
        <v>490</v>
      </c>
      <c r="D45" t="s">
        <v>490</v>
      </c>
      <c r="E45" t="s">
        <v>489</v>
      </c>
      <c r="F45" t="s">
        <v>490</v>
      </c>
      <c r="G45" t="s">
        <v>490</v>
      </c>
      <c r="H45" t="s">
        <v>490</v>
      </c>
      <c r="I45" t="s">
        <v>490</v>
      </c>
      <c r="J45" t="s">
        <v>489</v>
      </c>
      <c r="K45" t="s">
        <v>489</v>
      </c>
      <c r="L45" t="s">
        <v>489</v>
      </c>
      <c r="M45" t="s">
        <v>490</v>
      </c>
      <c r="N45" t="s">
        <v>489</v>
      </c>
      <c r="O45" t="s">
        <v>490</v>
      </c>
      <c r="P45" t="s">
        <v>490</v>
      </c>
      <c r="Q45" t="s">
        <v>489</v>
      </c>
      <c r="R45" t="s">
        <v>490</v>
      </c>
      <c r="S45" t="s">
        <v>490</v>
      </c>
      <c r="T45" t="s">
        <v>489</v>
      </c>
      <c r="U45" t="s">
        <v>490</v>
      </c>
      <c r="V45" t="s">
        <v>490</v>
      </c>
      <c r="W45" t="s">
        <v>489</v>
      </c>
      <c r="X45" t="s">
        <v>490</v>
      </c>
      <c r="Y45" t="s">
        <v>490</v>
      </c>
      <c r="Z45" t="s">
        <v>489</v>
      </c>
      <c r="AA45" t="s">
        <v>490</v>
      </c>
      <c r="AB45" t="s">
        <v>490</v>
      </c>
      <c r="AC45" t="s">
        <v>489</v>
      </c>
      <c r="AD45" t="s">
        <v>490</v>
      </c>
      <c r="AE45" t="s">
        <v>490</v>
      </c>
    </row>
    <row r="46" spans="1:31">
      <c r="A46" t="s">
        <v>974</v>
      </c>
      <c r="B46" t="s">
        <v>489</v>
      </c>
      <c r="C46" t="s">
        <v>490</v>
      </c>
      <c r="D46" t="s">
        <v>490</v>
      </c>
      <c r="E46" t="s">
        <v>489</v>
      </c>
      <c r="F46" t="s">
        <v>490</v>
      </c>
      <c r="G46" t="s">
        <v>490</v>
      </c>
      <c r="H46" t="s">
        <v>490</v>
      </c>
      <c r="I46" t="s">
        <v>489</v>
      </c>
      <c r="J46" t="s">
        <v>490</v>
      </c>
      <c r="K46" t="s">
        <v>489</v>
      </c>
      <c r="L46" t="s">
        <v>490</v>
      </c>
      <c r="M46" t="s">
        <v>490</v>
      </c>
      <c r="N46" t="s">
        <v>489</v>
      </c>
      <c r="O46" t="s">
        <v>490</v>
      </c>
      <c r="P46" t="s">
        <v>490</v>
      </c>
      <c r="Q46" t="s">
        <v>489</v>
      </c>
      <c r="R46" t="s">
        <v>490</v>
      </c>
      <c r="S46" t="s">
        <v>490</v>
      </c>
      <c r="T46" t="s">
        <v>489</v>
      </c>
      <c r="U46" t="s">
        <v>490</v>
      </c>
      <c r="V46" t="s">
        <v>490</v>
      </c>
      <c r="W46" t="s">
        <v>489</v>
      </c>
      <c r="X46" t="s">
        <v>490</v>
      </c>
      <c r="Y46" t="s">
        <v>490</v>
      </c>
      <c r="Z46" t="s">
        <v>489</v>
      </c>
      <c r="AA46" t="s">
        <v>490</v>
      </c>
      <c r="AB46" t="s">
        <v>490</v>
      </c>
      <c r="AC46" t="s">
        <v>489</v>
      </c>
      <c r="AD46" t="s">
        <v>490</v>
      </c>
      <c r="AE46" t="s">
        <v>490</v>
      </c>
    </row>
    <row r="47" spans="1:31">
      <c r="A47" t="s">
        <v>972</v>
      </c>
      <c r="B47" t="s">
        <v>489</v>
      </c>
      <c r="C47" t="s">
        <v>489</v>
      </c>
      <c r="D47" t="s">
        <v>490</v>
      </c>
      <c r="E47" t="s">
        <v>489</v>
      </c>
      <c r="F47" t="s">
        <v>490</v>
      </c>
      <c r="G47" t="s">
        <v>490</v>
      </c>
      <c r="H47" t="s">
        <v>490</v>
      </c>
      <c r="I47" t="s">
        <v>490</v>
      </c>
      <c r="J47" t="s">
        <v>489</v>
      </c>
      <c r="K47" t="s">
        <v>489</v>
      </c>
      <c r="L47" t="s">
        <v>490</v>
      </c>
      <c r="M47" t="s">
        <v>490</v>
      </c>
      <c r="N47" t="s">
        <v>489</v>
      </c>
      <c r="O47" t="s">
        <v>490</v>
      </c>
      <c r="P47" t="s">
        <v>490</v>
      </c>
      <c r="Q47" t="s">
        <v>489</v>
      </c>
      <c r="R47" t="s">
        <v>490</v>
      </c>
      <c r="S47" t="s">
        <v>490</v>
      </c>
      <c r="T47" t="s">
        <v>489</v>
      </c>
      <c r="U47" t="s">
        <v>490</v>
      </c>
      <c r="V47" t="s">
        <v>490</v>
      </c>
      <c r="W47" t="s">
        <v>489</v>
      </c>
      <c r="X47" t="s">
        <v>490</v>
      </c>
      <c r="Y47" t="s">
        <v>490</v>
      </c>
      <c r="Z47" t="s">
        <v>489</v>
      </c>
      <c r="AA47" t="s">
        <v>490</v>
      </c>
      <c r="AB47" t="s">
        <v>490</v>
      </c>
      <c r="AC47" t="s">
        <v>489</v>
      </c>
      <c r="AD47" t="s">
        <v>490</v>
      </c>
      <c r="AE47" t="s">
        <v>490</v>
      </c>
    </row>
    <row r="48" spans="1:31">
      <c r="A48" t="s">
        <v>972</v>
      </c>
      <c r="B48" t="s">
        <v>489</v>
      </c>
      <c r="C48" t="s">
        <v>490</v>
      </c>
      <c r="D48" t="s">
        <v>490</v>
      </c>
      <c r="E48" t="s">
        <v>489</v>
      </c>
      <c r="F48" t="s">
        <v>490</v>
      </c>
      <c r="G48" t="s">
        <v>490</v>
      </c>
      <c r="H48" t="s">
        <v>490</v>
      </c>
      <c r="I48" t="s">
        <v>490</v>
      </c>
      <c r="J48" t="s">
        <v>489</v>
      </c>
      <c r="K48" t="s">
        <v>489</v>
      </c>
      <c r="L48" t="s">
        <v>490</v>
      </c>
      <c r="M48" t="s">
        <v>490</v>
      </c>
      <c r="N48" t="s">
        <v>489</v>
      </c>
      <c r="O48" t="s">
        <v>490</v>
      </c>
      <c r="P48" t="s">
        <v>490</v>
      </c>
      <c r="Q48" t="s">
        <v>489</v>
      </c>
      <c r="R48" t="s">
        <v>490</v>
      </c>
      <c r="S48" t="s">
        <v>490</v>
      </c>
      <c r="T48" t="s">
        <v>489</v>
      </c>
      <c r="U48" t="s">
        <v>490</v>
      </c>
      <c r="V48" t="s">
        <v>490</v>
      </c>
      <c r="W48" t="s">
        <v>489</v>
      </c>
      <c r="X48" t="s">
        <v>490</v>
      </c>
      <c r="Y48" t="s">
        <v>490</v>
      </c>
      <c r="Z48" t="s">
        <v>489</v>
      </c>
      <c r="AA48" t="s">
        <v>490</v>
      </c>
      <c r="AB48" t="s">
        <v>490</v>
      </c>
      <c r="AC48" t="s">
        <v>489</v>
      </c>
      <c r="AD48" t="s">
        <v>490</v>
      </c>
      <c r="AE48" t="s">
        <v>490</v>
      </c>
    </row>
    <row r="49" spans="1:31">
      <c r="A49" t="s">
        <v>974</v>
      </c>
      <c r="B49" t="s">
        <v>489</v>
      </c>
      <c r="C49" t="s">
        <v>490</v>
      </c>
      <c r="D49" t="s">
        <v>490</v>
      </c>
      <c r="E49" t="s">
        <v>489</v>
      </c>
      <c r="F49" t="s">
        <v>490</v>
      </c>
      <c r="G49" t="s">
        <v>490</v>
      </c>
      <c r="H49" t="s">
        <v>490</v>
      </c>
      <c r="I49" t="s">
        <v>490</v>
      </c>
      <c r="J49" t="s">
        <v>489</v>
      </c>
      <c r="K49" t="s">
        <v>489</v>
      </c>
      <c r="L49" t="s">
        <v>489</v>
      </c>
      <c r="M49" t="s">
        <v>490</v>
      </c>
      <c r="N49" t="s">
        <v>490</v>
      </c>
      <c r="O49" t="s">
        <v>490</v>
      </c>
      <c r="P49" t="s">
        <v>489</v>
      </c>
      <c r="Q49" t="s">
        <v>489</v>
      </c>
      <c r="R49" t="s">
        <v>490</v>
      </c>
      <c r="S49" t="s">
        <v>490</v>
      </c>
      <c r="T49" t="s">
        <v>489</v>
      </c>
      <c r="U49" t="s">
        <v>490</v>
      </c>
      <c r="V49" t="s">
        <v>490</v>
      </c>
      <c r="W49" t="s">
        <v>489</v>
      </c>
      <c r="X49" t="s">
        <v>490</v>
      </c>
      <c r="Y49" t="s">
        <v>490</v>
      </c>
      <c r="Z49" t="s">
        <v>489</v>
      </c>
      <c r="AA49" t="s">
        <v>490</v>
      </c>
      <c r="AB49" t="s">
        <v>490</v>
      </c>
      <c r="AC49" t="s">
        <v>489</v>
      </c>
      <c r="AD49" t="s">
        <v>490</v>
      </c>
      <c r="AE49" t="s">
        <v>490</v>
      </c>
    </row>
    <row r="50" spans="1:31">
      <c r="A50" t="s">
        <v>974</v>
      </c>
      <c r="B50" t="s">
        <v>489</v>
      </c>
      <c r="C50" t="s">
        <v>489</v>
      </c>
      <c r="D50" t="s">
        <v>490</v>
      </c>
      <c r="E50" t="s">
        <v>489</v>
      </c>
      <c r="F50" t="s">
        <v>490</v>
      </c>
      <c r="G50" t="s">
        <v>490</v>
      </c>
      <c r="H50" t="s">
        <v>490</v>
      </c>
      <c r="I50" t="s">
        <v>490</v>
      </c>
      <c r="J50" t="s">
        <v>489</v>
      </c>
      <c r="K50" t="s">
        <v>489</v>
      </c>
      <c r="L50" t="s">
        <v>490</v>
      </c>
      <c r="M50" t="s">
        <v>490</v>
      </c>
      <c r="N50" t="s">
        <v>490</v>
      </c>
      <c r="O50" t="s">
        <v>490</v>
      </c>
      <c r="P50" t="s">
        <v>489</v>
      </c>
      <c r="Q50" t="s">
        <v>490</v>
      </c>
      <c r="R50" t="s">
        <v>490</v>
      </c>
      <c r="S50" t="s">
        <v>489</v>
      </c>
      <c r="T50" t="s">
        <v>489</v>
      </c>
      <c r="U50" t="s">
        <v>490</v>
      </c>
      <c r="V50" t="s">
        <v>490</v>
      </c>
      <c r="W50" t="s">
        <v>489</v>
      </c>
      <c r="X50" t="s">
        <v>490</v>
      </c>
      <c r="Y50" t="s">
        <v>490</v>
      </c>
      <c r="Z50" t="s">
        <v>489</v>
      </c>
      <c r="AA50" t="s">
        <v>490</v>
      </c>
      <c r="AB50" t="s">
        <v>490</v>
      </c>
      <c r="AC50" t="s">
        <v>489</v>
      </c>
      <c r="AD50" t="s">
        <v>490</v>
      </c>
      <c r="AE50" t="s">
        <v>490</v>
      </c>
    </row>
    <row r="51" spans="1:31">
      <c r="A51" t="s">
        <v>974</v>
      </c>
      <c r="B51" t="s">
        <v>489</v>
      </c>
      <c r="C51" t="s">
        <v>490</v>
      </c>
      <c r="D51" t="s">
        <v>490</v>
      </c>
      <c r="E51" t="s">
        <v>489</v>
      </c>
      <c r="F51" t="s">
        <v>489</v>
      </c>
      <c r="G51" t="s">
        <v>490</v>
      </c>
      <c r="H51" t="s">
        <v>490</v>
      </c>
      <c r="I51" t="s">
        <v>489</v>
      </c>
      <c r="J51" t="s">
        <v>490</v>
      </c>
      <c r="K51" t="s">
        <v>489</v>
      </c>
      <c r="L51" t="s">
        <v>489</v>
      </c>
      <c r="M51" t="s">
        <v>490</v>
      </c>
      <c r="N51" t="s">
        <v>489</v>
      </c>
      <c r="O51" t="s">
        <v>490</v>
      </c>
      <c r="P51" t="s">
        <v>490</v>
      </c>
      <c r="Q51" t="s">
        <v>489</v>
      </c>
      <c r="R51" t="s">
        <v>489</v>
      </c>
      <c r="S51" t="s">
        <v>490</v>
      </c>
      <c r="T51" t="s">
        <v>490</v>
      </c>
      <c r="U51" t="s">
        <v>490</v>
      </c>
      <c r="V51" t="s">
        <v>489</v>
      </c>
      <c r="W51" t="s">
        <v>489</v>
      </c>
      <c r="X51" t="s">
        <v>490</v>
      </c>
      <c r="Y51" t="s">
        <v>490</v>
      </c>
      <c r="Z51" t="s">
        <v>489</v>
      </c>
      <c r="AA51" t="s">
        <v>490</v>
      </c>
      <c r="AB51" t="s">
        <v>490</v>
      </c>
      <c r="AC51" t="s">
        <v>489</v>
      </c>
      <c r="AD51" t="s">
        <v>490</v>
      </c>
      <c r="AE51" t="s">
        <v>490</v>
      </c>
    </row>
    <row r="52" spans="1:31">
      <c r="A52" t="s">
        <v>972</v>
      </c>
      <c r="B52" t="s">
        <v>489</v>
      </c>
      <c r="C52" t="s">
        <v>490</v>
      </c>
      <c r="D52" t="s">
        <v>490</v>
      </c>
      <c r="E52" t="s">
        <v>489</v>
      </c>
      <c r="F52" t="s">
        <v>490</v>
      </c>
      <c r="G52" t="s">
        <v>490</v>
      </c>
      <c r="H52" t="s">
        <v>490</v>
      </c>
      <c r="I52" t="s">
        <v>490</v>
      </c>
      <c r="J52" t="s">
        <v>489</v>
      </c>
      <c r="K52" t="s">
        <v>489</v>
      </c>
      <c r="L52" t="s">
        <v>490</v>
      </c>
      <c r="M52" t="s">
        <v>490</v>
      </c>
      <c r="N52" t="s">
        <v>489</v>
      </c>
      <c r="O52" t="s">
        <v>490</v>
      </c>
      <c r="P52" t="s">
        <v>490</v>
      </c>
      <c r="Q52" t="s">
        <v>489</v>
      </c>
      <c r="R52" t="s">
        <v>490</v>
      </c>
      <c r="S52" t="s">
        <v>490</v>
      </c>
      <c r="T52" t="s">
        <v>490</v>
      </c>
      <c r="U52" t="s">
        <v>490</v>
      </c>
      <c r="V52" t="s">
        <v>489</v>
      </c>
      <c r="W52" t="s">
        <v>489</v>
      </c>
      <c r="X52" t="s">
        <v>490</v>
      </c>
      <c r="Y52" t="s">
        <v>490</v>
      </c>
      <c r="Z52" t="s">
        <v>489</v>
      </c>
      <c r="AA52" t="s">
        <v>490</v>
      </c>
      <c r="AB52" t="s">
        <v>490</v>
      </c>
      <c r="AC52" t="s">
        <v>489</v>
      </c>
      <c r="AD52" t="s">
        <v>490</v>
      </c>
      <c r="AE52" t="s">
        <v>490</v>
      </c>
    </row>
    <row r="53" spans="1:31">
      <c r="A53" t="s">
        <v>974</v>
      </c>
      <c r="B53" t="s">
        <v>489</v>
      </c>
      <c r="C53" t="s">
        <v>490</v>
      </c>
      <c r="D53" t="s">
        <v>490</v>
      </c>
      <c r="E53" t="s">
        <v>489</v>
      </c>
      <c r="F53" t="s">
        <v>490</v>
      </c>
      <c r="G53" t="s">
        <v>490</v>
      </c>
      <c r="H53" t="s">
        <v>490</v>
      </c>
      <c r="I53" t="s">
        <v>490</v>
      </c>
      <c r="J53" t="s">
        <v>489</v>
      </c>
      <c r="K53" t="s">
        <v>489</v>
      </c>
      <c r="L53" t="s">
        <v>489</v>
      </c>
      <c r="M53" t="s">
        <v>490</v>
      </c>
      <c r="N53" t="s">
        <v>490</v>
      </c>
      <c r="O53" t="s">
        <v>490</v>
      </c>
      <c r="P53" t="s">
        <v>489</v>
      </c>
      <c r="Q53" t="s">
        <v>489</v>
      </c>
      <c r="R53" t="s">
        <v>490</v>
      </c>
      <c r="S53" t="s">
        <v>490</v>
      </c>
      <c r="T53" t="s">
        <v>490</v>
      </c>
      <c r="U53" t="s">
        <v>490</v>
      </c>
      <c r="V53" t="s">
        <v>489</v>
      </c>
      <c r="W53" t="s">
        <v>489</v>
      </c>
      <c r="X53" t="s">
        <v>490</v>
      </c>
      <c r="Y53" t="s">
        <v>490</v>
      </c>
      <c r="Z53" t="s">
        <v>489</v>
      </c>
      <c r="AA53" t="s">
        <v>490</v>
      </c>
      <c r="AB53" t="s">
        <v>490</v>
      </c>
      <c r="AC53" t="s">
        <v>489</v>
      </c>
      <c r="AD53" t="s">
        <v>490</v>
      </c>
      <c r="AE53" t="s">
        <v>490</v>
      </c>
    </row>
    <row r="54" spans="1:31">
      <c r="A54" t="s">
        <v>972</v>
      </c>
      <c r="B54" t="s">
        <v>489</v>
      </c>
      <c r="C54" t="s">
        <v>490</v>
      </c>
      <c r="D54" t="s">
        <v>490</v>
      </c>
      <c r="E54" t="s">
        <v>489</v>
      </c>
      <c r="F54" t="s">
        <v>490</v>
      </c>
      <c r="G54" t="s">
        <v>490</v>
      </c>
      <c r="H54" t="s">
        <v>490</v>
      </c>
      <c r="I54" t="s">
        <v>490</v>
      </c>
      <c r="J54" t="s">
        <v>489</v>
      </c>
      <c r="K54" t="s">
        <v>489</v>
      </c>
      <c r="L54" t="s">
        <v>490</v>
      </c>
      <c r="M54" t="s">
        <v>490</v>
      </c>
      <c r="N54" t="s">
        <v>490</v>
      </c>
      <c r="O54" t="s">
        <v>490</v>
      </c>
      <c r="P54" t="s">
        <v>489</v>
      </c>
      <c r="Q54" t="s">
        <v>489</v>
      </c>
      <c r="R54" t="s">
        <v>490</v>
      </c>
      <c r="S54" t="s">
        <v>490</v>
      </c>
      <c r="T54" t="s">
        <v>490</v>
      </c>
      <c r="U54" t="s">
        <v>490</v>
      </c>
      <c r="V54" t="s">
        <v>489</v>
      </c>
      <c r="W54" t="s">
        <v>489</v>
      </c>
      <c r="X54" t="s">
        <v>490</v>
      </c>
      <c r="Y54" t="s">
        <v>490</v>
      </c>
      <c r="Z54" t="s">
        <v>489</v>
      </c>
      <c r="AA54" t="s">
        <v>490</v>
      </c>
      <c r="AB54" t="s">
        <v>490</v>
      </c>
      <c r="AC54" t="s">
        <v>489</v>
      </c>
      <c r="AD54" t="s">
        <v>490</v>
      </c>
      <c r="AE54" t="s">
        <v>490</v>
      </c>
    </row>
    <row r="55" spans="1:31">
      <c r="A55" t="s">
        <v>972</v>
      </c>
      <c r="B55" t="s">
        <v>489</v>
      </c>
      <c r="C55" t="s">
        <v>490</v>
      </c>
      <c r="D55" t="s">
        <v>490</v>
      </c>
      <c r="E55" t="s">
        <v>489</v>
      </c>
      <c r="F55" t="s">
        <v>490</v>
      </c>
      <c r="G55" t="s">
        <v>490</v>
      </c>
      <c r="H55" t="s">
        <v>490</v>
      </c>
      <c r="I55" t="s">
        <v>490</v>
      </c>
      <c r="J55" t="s">
        <v>489</v>
      </c>
      <c r="K55" t="s">
        <v>489</v>
      </c>
      <c r="L55" t="s">
        <v>490</v>
      </c>
      <c r="M55" t="s">
        <v>490</v>
      </c>
      <c r="N55" t="s">
        <v>490</v>
      </c>
      <c r="O55" t="s">
        <v>490</v>
      </c>
      <c r="P55" t="s">
        <v>489</v>
      </c>
      <c r="Q55" t="s">
        <v>489</v>
      </c>
      <c r="R55" t="s">
        <v>490</v>
      </c>
      <c r="S55" t="s">
        <v>490</v>
      </c>
      <c r="T55" t="s">
        <v>490</v>
      </c>
      <c r="U55" t="s">
        <v>490</v>
      </c>
      <c r="V55" t="s">
        <v>489</v>
      </c>
      <c r="W55" t="s">
        <v>489</v>
      </c>
      <c r="X55" t="s">
        <v>490</v>
      </c>
      <c r="Y55" t="s">
        <v>490</v>
      </c>
      <c r="Z55" t="s">
        <v>489</v>
      </c>
      <c r="AA55" t="s">
        <v>490</v>
      </c>
      <c r="AB55" t="s">
        <v>490</v>
      </c>
      <c r="AC55" t="s">
        <v>489</v>
      </c>
      <c r="AD55" t="s">
        <v>490</v>
      </c>
      <c r="AE55" t="s">
        <v>490</v>
      </c>
    </row>
    <row r="56" spans="1:31">
      <c r="A56" t="s">
        <v>972</v>
      </c>
      <c r="B56" t="s">
        <v>489</v>
      </c>
      <c r="C56" t="s">
        <v>490</v>
      </c>
      <c r="D56" t="s">
        <v>490</v>
      </c>
      <c r="E56" t="s">
        <v>489</v>
      </c>
      <c r="F56" t="s">
        <v>490</v>
      </c>
      <c r="G56" t="s">
        <v>490</v>
      </c>
      <c r="H56" t="s">
        <v>490</v>
      </c>
      <c r="I56" t="s">
        <v>489</v>
      </c>
      <c r="J56" t="s">
        <v>490</v>
      </c>
      <c r="K56" t="s">
        <v>490</v>
      </c>
      <c r="L56" t="s">
        <v>490</v>
      </c>
      <c r="M56" t="s">
        <v>489</v>
      </c>
      <c r="N56" t="s">
        <v>489</v>
      </c>
      <c r="O56" t="s">
        <v>490</v>
      </c>
      <c r="P56" t="s">
        <v>490</v>
      </c>
      <c r="Q56" t="s">
        <v>489</v>
      </c>
      <c r="R56" t="s">
        <v>490</v>
      </c>
      <c r="S56" t="s">
        <v>490</v>
      </c>
      <c r="T56" t="s">
        <v>490</v>
      </c>
      <c r="U56" t="s">
        <v>490</v>
      </c>
      <c r="V56" t="s">
        <v>489</v>
      </c>
      <c r="W56" t="s">
        <v>490</v>
      </c>
      <c r="X56" t="s">
        <v>490</v>
      </c>
      <c r="Y56" t="s">
        <v>489</v>
      </c>
      <c r="Z56" t="s">
        <v>489</v>
      </c>
      <c r="AA56" t="s">
        <v>490</v>
      </c>
      <c r="AB56" t="s">
        <v>490</v>
      </c>
      <c r="AC56" t="s">
        <v>489</v>
      </c>
      <c r="AD56" t="s">
        <v>490</v>
      </c>
      <c r="AE56" t="s">
        <v>490</v>
      </c>
    </row>
    <row r="57" spans="1:31">
      <c r="A57" t="s">
        <v>972</v>
      </c>
      <c r="B57" t="s">
        <v>489</v>
      </c>
      <c r="C57" t="s">
        <v>490</v>
      </c>
      <c r="D57" t="s">
        <v>490</v>
      </c>
      <c r="E57" t="s">
        <v>489</v>
      </c>
      <c r="F57" t="s">
        <v>490</v>
      </c>
      <c r="G57" t="s">
        <v>490</v>
      </c>
      <c r="H57" t="s">
        <v>490</v>
      </c>
      <c r="I57" t="s">
        <v>490</v>
      </c>
      <c r="J57" t="s">
        <v>489</v>
      </c>
      <c r="K57" t="s">
        <v>489</v>
      </c>
      <c r="L57" t="s">
        <v>490</v>
      </c>
      <c r="M57" t="s">
        <v>490</v>
      </c>
      <c r="N57" t="s">
        <v>489</v>
      </c>
      <c r="O57" t="s">
        <v>490</v>
      </c>
      <c r="P57" t="s">
        <v>490</v>
      </c>
      <c r="Q57" t="s">
        <v>489</v>
      </c>
      <c r="R57" t="s">
        <v>490</v>
      </c>
      <c r="S57" t="s">
        <v>490</v>
      </c>
      <c r="T57" t="s">
        <v>490</v>
      </c>
      <c r="U57" t="s">
        <v>490</v>
      </c>
      <c r="V57" t="s">
        <v>489</v>
      </c>
      <c r="W57" t="s">
        <v>489</v>
      </c>
      <c r="X57" t="s">
        <v>490</v>
      </c>
      <c r="Y57" t="s">
        <v>490</v>
      </c>
      <c r="Z57" t="s">
        <v>490</v>
      </c>
      <c r="AA57" t="s">
        <v>490</v>
      </c>
      <c r="AB57" t="s">
        <v>489</v>
      </c>
      <c r="AC57" t="s">
        <v>489</v>
      </c>
      <c r="AD57" t="s">
        <v>490</v>
      </c>
      <c r="AE57" t="s">
        <v>490</v>
      </c>
    </row>
    <row r="58" spans="1:31">
      <c r="A58" t="s">
        <v>972</v>
      </c>
      <c r="B58" t="s">
        <v>489</v>
      </c>
      <c r="C58" t="s">
        <v>490</v>
      </c>
      <c r="D58" t="s">
        <v>490</v>
      </c>
      <c r="E58" t="s">
        <v>489</v>
      </c>
      <c r="F58" t="s">
        <v>490</v>
      </c>
      <c r="G58" t="s">
        <v>490</v>
      </c>
      <c r="H58" t="s">
        <v>490</v>
      </c>
      <c r="I58" t="s">
        <v>490</v>
      </c>
      <c r="J58" t="s">
        <v>489</v>
      </c>
      <c r="K58" t="s">
        <v>489</v>
      </c>
      <c r="L58" t="s">
        <v>490</v>
      </c>
      <c r="M58" t="s">
        <v>490</v>
      </c>
      <c r="N58" t="s">
        <v>489</v>
      </c>
      <c r="O58" t="s">
        <v>490</v>
      </c>
      <c r="P58" t="s">
        <v>490</v>
      </c>
      <c r="Q58" t="s">
        <v>489</v>
      </c>
      <c r="R58" t="s">
        <v>490</v>
      </c>
      <c r="S58" t="s">
        <v>490</v>
      </c>
      <c r="T58" t="s">
        <v>490</v>
      </c>
      <c r="U58" t="s">
        <v>490</v>
      </c>
      <c r="V58" t="s">
        <v>489</v>
      </c>
      <c r="W58" t="s">
        <v>489</v>
      </c>
      <c r="X58" t="s">
        <v>490</v>
      </c>
      <c r="Y58" t="s">
        <v>490</v>
      </c>
      <c r="Z58" t="s">
        <v>490</v>
      </c>
      <c r="AA58" t="s">
        <v>490</v>
      </c>
      <c r="AB58" t="s">
        <v>489</v>
      </c>
      <c r="AC58" t="s">
        <v>489</v>
      </c>
      <c r="AD58" t="s">
        <v>490</v>
      </c>
      <c r="AE58" t="s">
        <v>490</v>
      </c>
    </row>
    <row r="59" spans="1:31">
      <c r="A59" t="s">
        <v>974</v>
      </c>
      <c r="B59" t="s">
        <v>489</v>
      </c>
      <c r="C59" t="s">
        <v>490</v>
      </c>
      <c r="D59" t="s">
        <v>490</v>
      </c>
      <c r="E59" t="s">
        <v>489</v>
      </c>
      <c r="F59" t="s">
        <v>490</v>
      </c>
      <c r="G59" t="s">
        <v>490</v>
      </c>
      <c r="H59" t="s">
        <v>490</v>
      </c>
      <c r="I59" t="s">
        <v>490</v>
      </c>
      <c r="J59" t="s">
        <v>489</v>
      </c>
      <c r="K59" t="s">
        <v>489</v>
      </c>
      <c r="L59" t="s">
        <v>490</v>
      </c>
      <c r="M59" t="s">
        <v>490</v>
      </c>
      <c r="N59" t="s">
        <v>489</v>
      </c>
      <c r="O59" t="s">
        <v>490</v>
      </c>
      <c r="P59" t="s">
        <v>490</v>
      </c>
      <c r="Q59" t="s">
        <v>489</v>
      </c>
      <c r="R59" t="s">
        <v>490</v>
      </c>
      <c r="S59" t="s">
        <v>490</v>
      </c>
      <c r="T59" t="s">
        <v>490</v>
      </c>
      <c r="U59" t="s">
        <v>490</v>
      </c>
      <c r="V59" t="s">
        <v>489</v>
      </c>
      <c r="W59" t="s">
        <v>489</v>
      </c>
      <c r="X59" t="s">
        <v>490</v>
      </c>
      <c r="Y59" t="s">
        <v>490</v>
      </c>
      <c r="Z59" t="s">
        <v>490</v>
      </c>
      <c r="AA59" t="s">
        <v>490</v>
      </c>
      <c r="AB59" t="s">
        <v>489</v>
      </c>
      <c r="AC59" t="s">
        <v>489</v>
      </c>
      <c r="AD59" t="s">
        <v>490</v>
      </c>
      <c r="AE59" t="s">
        <v>490</v>
      </c>
    </row>
    <row r="60" spans="1:31">
      <c r="A60" t="s">
        <v>972</v>
      </c>
      <c r="B60" t="s">
        <v>489</v>
      </c>
      <c r="C60" t="s">
        <v>490</v>
      </c>
      <c r="D60" t="s">
        <v>490</v>
      </c>
      <c r="E60" t="s">
        <v>489</v>
      </c>
      <c r="F60" t="s">
        <v>490</v>
      </c>
      <c r="G60" t="s">
        <v>490</v>
      </c>
      <c r="H60" t="s">
        <v>490</v>
      </c>
      <c r="I60" t="s">
        <v>490</v>
      </c>
      <c r="J60" t="s">
        <v>489</v>
      </c>
      <c r="K60" t="s">
        <v>490</v>
      </c>
      <c r="L60" t="s">
        <v>490</v>
      </c>
      <c r="M60" t="s">
        <v>489</v>
      </c>
      <c r="N60" t="s">
        <v>489</v>
      </c>
      <c r="O60" t="s">
        <v>490</v>
      </c>
      <c r="P60" t="s">
        <v>490</v>
      </c>
      <c r="Q60" t="s">
        <v>489</v>
      </c>
      <c r="R60" t="s">
        <v>490</v>
      </c>
      <c r="S60" t="s">
        <v>490</v>
      </c>
      <c r="T60" t="s">
        <v>490</v>
      </c>
      <c r="U60" t="s">
        <v>490</v>
      </c>
      <c r="V60" t="s">
        <v>489</v>
      </c>
      <c r="W60" t="s">
        <v>489</v>
      </c>
      <c r="X60" t="s">
        <v>490</v>
      </c>
      <c r="Y60" t="s">
        <v>490</v>
      </c>
      <c r="Z60" t="s">
        <v>490</v>
      </c>
      <c r="AA60" t="s">
        <v>490</v>
      </c>
      <c r="AB60" t="s">
        <v>489</v>
      </c>
      <c r="AC60" t="s">
        <v>489</v>
      </c>
      <c r="AD60" t="s">
        <v>490</v>
      </c>
      <c r="AE60" t="s">
        <v>490</v>
      </c>
    </row>
    <row r="61" spans="1:31">
      <c r="A61" t="s">
        <v>974</v>
      </c>
      <c r="B61" t="s">
        <v>489</v>
      </c>
      <c r="C61" t="s">
        <v>490</v>
      </c>
      <c r="D61" t="s">
        <v>490</v>
      </c>
      <c r="E61" t="s">
        <v>489</v>
      </c>
      <c r="F61" t="s">
        <v>490</v>
      </c>
      <c r="G61" t="s">
        <v>490</v>
      </c>
      <c r="H61" t="s">
        <v>490</v>
      </c>
      <c r="I61" t="s">
        <v>490</v>
      </c>
      <c r="J61" t="s">
        <v>489</v>
      </c>
      <c r="K61" t="s">
        <v>489</v>
      </c>
      <c r="L61" t="s">
        <v>489</v>
      </c>
      <c r="M61" t="s">
        <v>490</v>
      </c>
      <c r="N61" t="s">
        <v>490</v>
      </c>
      <c r="O61" t="s">
        <v>490</v>
      </c>
      <c r="P61" t="s">
        <v>489</v>
      </c>
      <c r="Q61" t="s">
        <v>489</v>
      </c>
      <c r="R61" t="s">
        <v>490</v>
      </c>
      <c r="S61" t="s">
        <v>490</v>
      </c>
      <c r="T61" t="s">
        <v>490</v>
      </c>
      <c r="U61" t="s">
        <v>490</v>
      </c>
      <c r="V61" t="s">
        <v>489</v>
      </c>
      <c r="W61" t="s">
        <v>489</v>
      </c>
      <c r="X61" t="s">
        <v>490</v>
      </c>
      <c r="Y61" t="s">
        <v>490</v>
      </c>
      <c r="Z61" t="s">
        <v>490</v>
      </c>
      <c r="AA61" t="s">
        <v>490</v>
      </c>
      <c r="AB61" t="s">
        <v>489</v>
      </c>
      <c r="AC61" t="s">
        <v>489</v>
      </c>
      <c r="AD61" t="s">
        <v>490</v>
      </c>
      <c r="AE61" t="s">
        <v>490</v>
      </c>
    </row>
    <row r="62" spans="1:31">
      <c r="A62" t="s">
        <v>972</v>
      </c>
      <c r="B62" t="s">
        <v>489</v>
      </c>
      <c r="C62" t="s">
        <v>490</v>
      </c>
      <c r="D62" t="s">
        <v>490</v>
      </c>
      <c r="E62" t="s">
        <v>489</v>
      </c>
      <c r="F62" t="s">
        <v>490</v>
      </c>
      <c r="G62" t="s">
        <v>490</v>
      </c>
      <c r="H62" t="s">
        <v>490</v>
      </c>
      <c r="I62" t="s">
        <v>490</v>
      </c>
      <c r="J62" t="s">
        <v>489</v>
      </c>
      <c r="K62" t="s">
        <v>490</v>
      </c>
      <c r="L62" t="s">
        <v>490</v>
      </c>
      <c r="M62" t="s">
        <v>489</v>
      </c>
      <c r="N62" t="s">
        <v>490</v>
      </c>
      <c r="O62" t="s">
        <v>490</v>
      </c>
      <c r="P62" t="s">
        <v>489</v>
      </c>
      <c r="Q62" t="s">
        <v>489</v>
      </c>
      <c r="R62" t="s">
        <v>490</v>
      </c>
      <c r="S62" t="s">
        <v>490</v>
      </c>
      <c r="T62" t="s">
        <v>490</v>
      </c>
      <c r="U62" t="s">
        <v>490</v>
      </c>
      <c r="V62" t="s">
        <v>489</v>
      </c>
      <c r="W62" t="s">
        <v>489</v>
      </c>
      <c r="X62" t="s">
        <v>490</v>
      </c>
      <c r="Y62" t="s">
        <v>490</v>
      </c>
      <c r="Z62" t="s">
        <v>490</v>
      </c>
      <c r="AA62" t="s">
        <v>490</v>
      </c>
      <c r="AB62" t="s">
        <v>489</v>
      </c>
      <c r="AC62" t="s">
        <v>489</v>
      </c>
      <c r="AD62" t="s">
        <v>490</v>
      </c>
      <c r="AE62" t="s">
        <v>490</v>
      </c>
    </row>
    <row r="63" spans="1:31">
      <c r="A63" t="s">
        <v>972</v>
      </c>
      <c r="B63" t="s">
        <v>489</v>
      </c>
      <c r="C63" t="s">
        <v>490</v>
      </c>
      <c r="D63" t="s">
        <v>490</v>
      </c>
      <c r="E63" t="s">
        <v>489</v>
      </c>
      <c r="F63" t="s">
        <v>490</v>
      </c>
      <c r="G63" t="s">
        <v>490</v>
      </c>
      <c r="H63" t="s">
        <v>490</v>
      </c>
      <c r="I63" t="s">
        <v>490</v>
      </c>
      <c r="J63" t="s">
        <v>489</v>
      </c>
      <c r="K63" t="s">
        <v>490</v>
      </c>
      <c r="L63" t="s">
        <v>490</v>
      </c>
      <c r="M63" t="s">
        <v>489</v>
      </c>
      <c r="N63" t="s">
        <v>490</v>
      </c>
      <c r="O63" t="s">
        <v>490</v>
      </c>
      <c r="P63" t="s">
        <v>489</v>
      </c>
      <c r="Q63" t="s">
        <v>489</v>
      </c>
      <c r="R63" t="s">
        <v>490</v>
      </c>
      <c r="S63" t="s">
        <v>490</v>
      </c>
      <c r="T63" t="s">
        <v>490</v>
      </c>
      <c r="U63" t="s">
        <v>490</v>
      </c>
      <c r="V63" t="s">
        <v>489</v>
      </c>
      <c r="W63" t="s">
        <v>489</v>
      </c>
      <c r="X63" t="s">
        <v>490</v>
      </c>
      <c r="Y63" t="s">
        <v>490</v>
      </c>
      <c r="Z63" t="s">
        <v>490</v>
      </c>
      <c r="AA63" t="s">
        <v>490</v>
      </c>
      <c r="AB63" t="s">
        <v>489</v>
      </c>
      <c r="AC63" t="s">
        <v>489</v>
      </c>
      <c r="AD63" t="s">
        <v>490</v>
      </c>
      <c r="AE63" t="s">
        <v>490</v>
      </c>
    </row>
    <row r="64" spans="1:31">
      <c r="A64" t="s">
        <v>972</v>
      </c>
      <c r="B64" t="s">
        <v>489</v>
      </c>
      <c r="C64" t="s">
        <v>490</v>
      </c>
      <c r="D64" t="s">
        <v>490</v>
      </c>
      <c r="E64" t="s">
        <v>489</v>
      </c>
      <c r="F64" t="s">
        <v>490</v>
      </c>
      <c r="G64" t="s">
        <v>490</v>
      </c>
      <c r="H64" t="s">
        <v>490</v>
      </c>
      <c r="I64" t="s">
        <v>490</v>
      </c>
      <c r="J64" t="s">
        <v>489</v>
      </c>
      <c r="K64" t="s">
        <v>490</v>
      </c>
      <c r="L64" t="s">
        <v>490</v>
      </c>
      <c r="M64" t="s">
        <v>489</v>
      </c>
      <c r="N64" t="s">
        <v>490</v>
      </c>
      <c r="O64" t="s">
        <v>490</v>
      </c>
      <c r="P64" t="s">
        <v>489</v>
      </c>
      <c r="Q64" t="s">
        <v>489</v>
      </c>
      <c r="R64" t="s">
        <v>490</v>
      </c>
      <c r="S64" t="s">
        <v>490</v>
      </c>
      <c r="T64" t="s">
        <v>490</v>
      </c>
      <c r="U64" t="s">
        <v>490</v>
      </c>
      <c r="V64" t="s">
        <v>489</v>
      </c>
      <c r="W64" t="s">
        <v>489</v>
      </c>
      <c r="X64" t="s">
        <v>490</v>
      </c>
      <c r="Y64" t="s">
        <v>490</v>
      </c>
      <c r="Z64" t="s">
        <v>490</v>
      </c>
      <c r="AA64" t="s">
        <v>490</v>
      </c>
      <c r="AB64" t="s">
        <v>489</v>
      </c>
      <c r="AC64" t="s">
        <v>489</v>
      </c>
      <c r="AD64" t="s">
        <v>490</v>
      </c>
      <c r="AE64" t="s">
        <v>490</v>
      </c>
    </row>
    <row r="65" spans="1:31">
      <c r="A65" t="s">
        <v>972</v>
      </c>
      <c r="B65" t="s">
        <v>489</v>
      </c>
      <c r="C65" t="s">
        <v>489</v>
      </c>
      <c r="D65" t="s">
        <v>490</v>
      </c>
      <c r="E65" t="s">
        <v>489</v>
      </c>
      <c r="F65" t="s">
        <v>489</v>
      </c>
      <c r="G65" t="s">
        <v>490</v>
      </c>
      <c r="H65" t="s">
        <v>490</v>
      </c>
      <c r="I65" t="s">
        <v>490</v>
      </c>
      <c r="J65" t="s">
        <v>489</v>
      </c>
      <c r="K65" t="s">
        <v>489</v>
      </c>
      <c r="L65" t="s">
        <v>490</v>
      </c>
      <c r="M65" t="s">
        <v>490</v>
      </c>
      <c r="N65" t="s">
        <v>489</v>
      </c>
      <c r="O65" t="s">
        <v>490</v>
      </c>
      <c r="P65" t="s">
        <v>490</v>
      </c>
      <c r="Q65" t="s">
        <v>489</v>
      </c>
      <c r="R65" t="s">
        <v>490</v>
      </c>
      <c r="S65" t="s">
        <v>490</v>
      </c>
      <c r="T65" t="s">
        <v>490</v>
      </c>
      <c r="U65" t="s">
        <v>490</v>
      </c>
      <c r="V65" t="s">
        <v>489</v>
      </c>
      <c r="W65" t="s">
        <v>490</v>
      </c>
      <c r="X65" t="s">
        <v>490</v>
      </c>
      <c r="Y65" t="s">
        <v>489</v>
      </c>
      <c r="Z65" t="s">
        <v>490</v>
      </c>
      <c r="AA65" t="s">
        <v>490</v>
      </c>
      <c r="AB65" t="s">
        <v>489</v>
      </c>
      <c r="AC65" t="s">
        <v>489</v>
      </c>
      <c r="AD65" t="s">
        <v>490</v>
      </c>
      <c r="AE65" t="s">
        <v>490</v>
      </c>
    </row>
    <row r="66" spans="1:31">
      <c r="A66" t="s">
        <v>972</v>
      </c>
      <c r="B66" t="s">
        <v>489</v>
      </c>
      <c r="C66" t="s">
        <v>490</v>
      </c>
      <c r="D66" t="s">
        <v>490</v>
      </c>
      <c r="E66" t="s">
        <v>489</v>
      </c>
      <c r="F66" t="s">
        <v>490</v>
      </c>
      <c r="G66" t="s">
        <v>490</v>
      </c>
      <c r="H66" t="s">
        <v>490</v>
      </c>
      <c r="I66" t="s">
        <v>490</v>
      </c>
      <c r="J66" t="s">
        <v>489</v>
      </c>
      <c r="K66" t="s">
        <v>489</v>
      </c>
      <c r="L66" t="s">
        <v>490</v>
      </c>
      <c r="M66" t="s">
        <v>490</v>
      </c>
      <c r="N66" t="s">
        <v>489</v>
      </c>
      <c r="O66" t="s">
        <v>490</v>
      </c>
      <c r="P66" t="s">
        <v>490</v>
      </c>
      <c r="Q66" t="s">
        <v>489</v>
      </c>
      <c r="R66" t="s">
        <v>490</v>
      </c>
      <c r="S66" t="s">
        <v>490</v>
      </c>
      <c r="T66" t="s">
        <v>490</v>
      </c>
      <c r="U66" t="s">
        <v>490</v>
      </c>
      <c r="V66" t="s">
        <v>489</v>
      </c>
      <c r="W66" t="s">
        <v>490</v>
      </c>
      <c r="X66" t="s">
        <v>490</v>
      </c>
      <c r="Y66" t="s">
        <v>489</v>
      </c>
      <c r="Z66" t="s">
        <v>490</v>
      </c>
      <c r="AA66" t="s">
        <v>490</v>
      </c>
      <c r="AB66" t="s">
        <v>489</v>
      </c>
      <c r="AC66" t="s">
        <v>489</v>
      </c>
      <c r="AD66" t="s">
        <v>490</v>
      </c>
      <c r="AE66" t="s">
        <v>490</v>
      </c>
    </row>
    <row r="67" spans="1:31">
      <c r="A67" t="s">
        <v>974</v>
      </c>
      <c r="B67" t="s">
        <v>489</v>
      </c>
      <c r="C67" t="s">
        <v>490</v>
      </c>
      <c r="D67" t="s">
        <v>490</v>
      </c>
      <c r="E67" t="s">
        <v>489</v>
      </c>
      <c r="F67" t="s">
        <v>490</v>
      </c>
      <c r="G67" t="s">
        <v>490</v>
      </c>
      <c r="H67" t="s">
        <v>490</v>
      </c>
      <c r="I67" t="s">
        <v>490</v>
      </c>
      <c r="J67" t="s">
        <v>489</v>
      </c>
      <c r="K67" t="s">
        <v>489</v>
      </c>
      <c r="L67" t="s">
        <v>490</v>
      </c>
      <c r="M67" t="s">
        <v>490</v>
      </c>
      <c r="N67" t="s">
        <v>489</v>
      </c>
      <c r="O67" t="s">
        <v>490</v>
      </c>
      <c r="P67" t="s">
        <v>490</v>
      </c>
      <c r="Q67" t="s">
        <v>489</v>
      </c>
      <c r="R67" t="s">
        <v>490</v>
      </c>
      <c r="S67" t="s">
        <v>490</v>
      </c>
      <c r="T67" t="s">
        <v>490</v>
      </c>
      <c r="U67" t="s">
        <v>490</v>
      </c>
      <c r="V67" t="s">
        <v>489</v>
      </c>
      <c r="W67" t="s">
        <v>490</v>
      </c>
      <c r="X67" t="s">
        <v>490</v>
      </c>
      <c r="Y67" t="s">
        <v>489</v>
      </c>
      <c r="Z67" t="s">
        <v>490</v>
      </c>
      <c r="AA67" t="s">
        <v>490</v>
      </c>
      <c r="AB67" t="s">
        <v>489</v>
      </c>
      <c r="AC67" t="s">
        <v>489</v>
      </c>
      <c r="AD67" t="s">
        <v>490</v>
      </c>
      <c r="AE67" t="s">
        <v>490</v>
      </c>
    </row>
    <row r="68" spans="1:31">
      <c r="A68" t="s">
        <v>972</v>
      </c>
      <c r="B68" t="s">
        <v>489</v>
      </c>
      <c r="C68" t="s">
        <v>490</v>
      </c>
      <c r="D68" t="s">
        <v>490</v>
      </c>
      <c r="E68" t="s">
        <v>489</v>
      </c>
      <c r="F68" t="s">
        <v>490</v>
      </c>
      <c r="G68" t="s">
        <v>490</v>
      </c>
      <c r="H68" t="s">
        <v>490</v>
      </c>
      <c r="I68" t="s">
        <v>490</v>
      </c>
      <c r="J68" t="s">
        <v>489</v>
      </c>
      <c r="K68" t="s">
        <v>490</v>
      </c>
      <c r="L68" t="s">
        <v>490</v>
      </c>
      <c r="M68" t="s">
        <v>489</v>
      </c>
      <c r="N68" t="s">
        <v>489</v>
      </c>
      <c r="O68" t="s">
        <v>490</v>
      </c>
      <c r="P68" t="s">
        <v>490</v>
      </c>
      <c r="Q68" t="s">
        <v>489</v>
      </c>
      <c r="R68" t="s">
        <v>490</v>
      </c>
      <c r="S68" t="s">
        <v>490</v>
      </c>
      <c r="T68" t="s">
        <v>490</v>
      </c>
      <c r="U68" t="s">
        <v>490</v>
      </c>
      <c r="V68" t="s">
        <v>489</v>
      </c>
      <c r="W68" t="s">
        <v>490</v>
      </c>
      <c r="X68" t="s">
        <v>490</v>
      </c>
      <c r="Y68" t="s">
        <v>489</v>
      </c>
      <c r="Z68" t="s">
        <v>490</v>
      </c>
      <c r="AA68" t="s">
        <v>490</v>
      </c>
      <c r="AB68" t="s">
        <v>489</v>
      </c>
      <c r="AC68" t="s">
        <v>489</v>
      </c>
      <c r="AD68" t="s">
        <v>490</v>
      </c>
      <c r="AE68" t="s">
        <v>490</v>
      </c>
    </row>
    <row r="69" spans="1:31">
      <c r="A69" t="s">
        <v>972</v>
      </c>
      <c r="B69" t="s">
        <v>489</v>
      </c>
      <c r="C69" t="s">
        <v>490</v>
      </c>
      <c r="D69" t="s">
        <v>490</v>
      </c>
      <c r="E69" t="s">
        <v>489</v>
      </c>
      <c r="F69" t="s">
        <v>490</v>
      </c>
      <c r="G69" t="s">
        <v>490</v>
      </c>
      <c r="H69" t="s">
        <v>490</v>
      </c>
      <c r="I69" t="s">
        <v>490</v>
      </c>
      <c r="J69" t="s">
        <v>489</v>
      </c>
      <c r="K69" t="s">
        <v>490</v>
      </c>
      <c r="L69" t="s">
        <v>490</v>
      </c>
      <c r="M69" t="s">
        <v>489</v>
      </c>
      <c r="N69" t="s">
        <v>489</v>
      </c>
      <c r="O69" t="s">
        <v>490</v>
      </c>
      <c r="P69" t="s">
        <v>490</v>
      </c>
      <c r="Q69" t="s">
        <v>489</v>
      </c>
      <c r="R69" t="s">
        <v>490</v>
      </c>
      <c r="S69" t="s">
        <v>490</v>
      </c>
      <c r="T69" t="s">
        <v>490</v>
      </c>
      <c r="U69" t="s">
        <v>490</v>
      </c>
      <c r="V69" t="s">
        <v>489</v>
      </c>
      <c r="W69" t="s">
        <v>490</v>
      </c>
      <c r="X69" t="s">
        <v>490</v>
      </c>
      <c r="Y69" t="s">
        <v>489</v>
      </c>
      <c r="Z69" t="s">
        <v>490</v>
      </c>
      <c r="AA69" t="s">
        <v>490</v>
      </c>
      <c r="AB69" t="s">
        <v>489</v>
      </c>
      <c r="AC69" t="s">
        <v>489</v>
      </c>
      <c r="AD69" t="s">
        <v>490</v>
      </c>
      <c r="AE69" t="s">
        <v>490</v>
      </c>
    </row>
    <row r="70" spans="1:31">
      <c r="A70" t="s">
        <v>972</v>
      </c>
      <c r="B70" t="s">
        <v>489</v>
      </c>
      <c r="C70" t="s">
        <v>490</v>
      </c>
      <c r="D70" t="s">
        <v>490</v>
      </c>
      <c r="E70" t="s">
        <v>489</v>
      </c>
      <c r="F70" t="s">
        <v>490</v>
      </c>
      <c r="G70" t="s">
        <v>490</v>
      </c>
      <c r="H70" t="s">
        <v>490</v>
      </c>
      <c r="I70" t="s">
        <v>489</v>
      </c>
      <c r="J70" t="s">
        <v>490</v>
      </c>
      <c r="K70" t="s">
        <v>489</v>
      </c>
      <c r="L70" t="s">
        <v>490</v>
      </c>
      <c r="M70" t="s">
        <v>490</v>
      </c>
      <c r="N70" t="s">
        <v>490</v>
      </c>
      <c r="O70" t="s">
        <v>490</v>
      </c>
      <c r="P70" t="s">
        <v>489</v>
      </c>
      <c r="Q70" t="s">
        <v>489</v>
      </c>
      <c r="R70" t="s">
        <v>490</v>
      </c>
      <c r="S70" t="s">
        <v>490</v>
      </c>
      <c r="T70" t="s">
        <v>490</v>
      </c>
      <c r="U70" t="s">
        <v>490</v>
      </c>
      <c r="V70" t="s">
        <v>489</v>
      </c>
      <c r="W70" t="s">
        <v>490</v>
      </c>
      <c r="X70" t="s">
        <v>490</v>
      </c>
      <c r="Y70" t="s">
        <v>489</v>
      </c>
      <c r="Z70" t="s">
        <v>490</v>
      </c>
      <c r="AA70" t="s">
        <v>490</v>
      </c>
      <c r="AB70" t="s">
        <v>489</v>
      </c>
      <c r="AC70" t="s">
        <v>489</v>
      </c>
      <c r="AD70" t="s">
        <v>490</v>
      </c>
      <c r="AE70" t="s">
        <v>490</v>
      </c>
    </row>
    <row r="71" spans="1:31">
      <c r="A71" t="s">
        <v>972</v>
      </c>
      <c r="B71" t="s">
        <v>489</v>
      </c>
      <c r="C71" t="s">
        <v>490</v>
      </c>
      <c r="D71" t="s">
        <v>490</v>
      </c>
      <c r="E71" t="s">
        <v>489</v>
      </c>
      <c r="F71" t="s">
        <v>490</v>
      </c>
      <c r="G71" t="s">
        <v>490</v>
      </c>
      <c r="H71" t="s">
        <v>490</v>
      </c>
      <c r="I71" t="s">
        <v>490</v>
      </c>
      <c r="J71" t="s">
        <v>489</v>
      </c>
      <c r="K71" t="s">
        <v>490</v>
      </c>
      <c r="L71" t="s">
        <v>490</v>
      </c>
      <c r="M71" t="s">
        <v>489</v>
      </c>
      <c r="N71" t="s">
        <v>490</v>
      </c>
      <c r="O71" t="s">
        <v>490</v>
      </c>
      <c r="P71" t="s">
        <v>489</v>
      </c>
      <c r="Q71" t="s">
        <v>489</v>
      </c>
      <c r="R71" t="s">
        <v>490</v>
      </c>
      <c r="S71" t="s">
        <v>490</v>
      </c>
      <c r="T71" t="s">
        <v>490</v>
      </c>
      <c r="U71" t="s">
        <v>490</v>
      </c>
      <c r="V71" t="s">
        <v>489</v>
      </c>
      <c r="W71" t="s">
        <v>490</v>
      </c>
      <c r="X71" t="s">
        <v>490</v>
      </c>
      <c r="Y71" t="s">
        <v>489</v>
      </c>
      <c r="Z71" t="s">
        <v>490</v>
      </c>
      <c r="AA71" t="s">
        <v>490</v>
      </c>
      <c r="AB71" t="s">
        <v>489</v>
      </c>
      <c r="AC71" t="s">
        <v>489</v>
      </c>
      <c r="AD71" t="s">
        <v>490</v>
      </c>
      <c r="AE71" t="s">
        <v>490</v>
      </c>
    </row>
    <row r="72" spans="1:31">
      <c r="A72" t="s">
        <v>973</v>
      </c>
      <c r="B72" t="s">
        <v>489</v>
      </c>
      <c r="C72" t="s">
        <v>489</v>
      </c>
      <c r="D72" t="s">
        <v>490</v>
      </c>
      <c r="E72" t="s">
        <v>489</v>
      </c>
      <c r="F72" t="s">
        <v>489</v>
      </c>
      <c r="G72" t="s">
        <v>490</v>
      </c>
      <c r="H72" t="s">
        <v>490</v>
      </c>
      <c r="I72" t="s">
        <v>490</v>
      </c>
      <c r="J72" t="s">
        <v>489</v>
      </c>
      <c r="K72" t="s">
        <v>489</v>
      </c>
      <c r="L72" t="s">
        <v>489</v>
      </c>
      <c r="M72" t="s">
        <v>490</v>
      </c>
      <c r="N72" t="s">
        <v>489</v>
      </c>
      <c r="O72" t="s">
        <v>490</v>
      </c>
      <c r="P72" t="s">
        <v>490</v>
      </c>
      <c r="Q72" t="s">
        <v>489</v>
      </c>
      <c r="R72" t="s">
        <v>490</v>
      </c>
      <c r="S72" t="s">
        <v>490</v>
      </c>
      <c r="T72" t="s">
        <v>489</v>
      </c>
      <c r="U72" t="s">
        <v>489</v>
      </c>
      <c r="V72" t="s">
        <v>490</v>
      </c>
      <c r="W72" t="s">
        <v>489</v>
      </c>
      <c r="X72" t="s">
        <v>489</v>
      </c>
      <c r="Y72" t="s">
        <v>490</v>
      </c>
      <c r="Z72" t="s">
        <v>489</v>
      </c>
      <c r="AA72" t="s">
        <v>489</v>
      </c>
      <c r="AB72" t="s">
        <v>490</v>
      </c>
      <c r="AC72" t="s">
        <v>490</v>
      </c>
      <c r="AD72" t="s">
        <v>490</v>
      </c>
      <c r="AE72" t="s">
        <v>489</v>
      </c>
    </row>
    <row r="73" spans="1:31">
      <c r="A73" t="s">
        <v>974</v>
      </c>
      <c r="B73" t="s">
        <v>489</v>
      </c>
      <c r="C73" t="s">
        <v>490</v>
      </c>
      <c r="D73" t="s">
        <v>490</v>
      </c>
      <c r="E73" t="s">
        <v>489</v>
      </c>
      <c r="F73" t="s">
        <v>490</v>
      </c>
      <c r="G73" t="s">
        <v>490</v>
      </c>
      <c r="H73" t="s">
        <v>490</v>
      </c>
      <c r="I73" t="s">
        <v>490</v>
      </c>
      <c r="J73" t="s">
        <v>489</v>
      </c>
      <c r="K73" t="s">
        <v>489</v>
      </c>
      <c r="L73" t="s">
        <v>489</v>
      </c>
      <c r="M73" t="s">
        <v>490</v>
      </c>
      <c r="N73" t="s">
        <v>489</v>
      </c>
      <c r="O73" t="s">
        <v>490</v>
      </c>
      <c r="P73" t="s">
        <v>490</v>
      </c>
      <c r="Q73" t="s">
        <v>489</v>
      </c>
      <c r="R73" t="s">
        <v>490</v>
      </c>
      <c r="S73" t="s">
        <v>490</v>
      </c>
      <c r="T73" t="s">
        <v>489</v>
      </c>
      <c r="U73" t="s">
        <v>489</v>
      </c>
      <c r="V73" t="s">
        <v>490</v>
      </c>
      <c r="W73" t="s">
        <v>489</v>
      </c>
      <c r="X73" t="s">
        <v>489</v>
      </c>
      <c r="Y73" t="s">
        <v>490</v>
      </c>
      <c r="Z73" t="s">
        <v>489</v>
      </c>
      <c r="AA73" t="s">
        <v>489</v>
      </c>
      <c r="AB73" t="s">
        <v>490</v>
      </c>
      <c r="AC73" t="s">
        <v>490</v>
      </c>
      <c r="AD73" t="s">
        <v>490</v>
      </c>
      <c r="AE73" t="s">
        <v>489</v>
      </c>
    </row>
    <row r="74" spans="1:31">
      <c r="A74" t="s">
        <v>954</v>
      </c>
      <c r="B74" t="s">
        <v>489</v>
      </c>
      <c r="C74" t="s">
        <v>489</v>
      </c>
      <c r="D74" t="s">
        <v>490</v>
      </c>
      <c r="E74" t="s">
        <v>489</v>
      </c>
      <c r="F74" t="s">
        <v>489</v>
      </c>
      <c r="G74" t="s">
        <v>490</v>
      </c>
      <c r="H74" t="s">
        <v>490</v>
      </c>
      <c r="I74" t="s">
        <v>490</v>
      </c>
      <c r="J74" t="s">
        <v>489</v>
      </c>
      <c r="K74" t="s">
        <v>490</v>
      </c>
      <c r="L74" t="s">
        <v>490</v>
      </c>
      <c r="M74" t="s">
        <v>489</v>
      </c>
      <c r="N74" t="s">
        <v>489</v>
      </c>
      <c r="O74" t="s">
        <v>490</v>
      </c>
      <c r="P74" t="s">
        <v>490</v>
      </c>
      <c r="Q74" t="s">
        <v>489</v>
      </c>
      <c r="R74" t="s">
        <v>490</v>
      </c>
      <c r="S74" t="s">
        <v>490</v>
      </c>
      <c r="T74" t="s">
        <v>490</v>
      </c>
      <c r="U74" t="s">
        <v>490</v>
      </c>
      <c r="V74" t="s">
        <v>489</v>
      </c>
      <c r="W74" t="s">
        <v>489</v>
      </c>
      <c r="X74" t="s">
        <v>490</v>
      </c>
      <c r="Y74" t="s">
        <v>490</v>
      </c>
      <c r="Z74" t="s">
        <v>489</v>
      </c>
      <c r="AA74" t="s">
        <v>489</v>
      </c>
      <c r="AB74" t="s">
        <v>490</v>
      </c>
      <c r="AC74" t="s">
        <v>490</v>
      </c>
      <c r="AD74" t="s">
        <v>490</v>
      </c>
      <c r="AE74" t="s">
        <v>489</v>
      </c>
    </row>
    <row r="75" spans="1:31">
      <c r="A75" t="s">
        <v>973</v>
      </c>
      <c r="B75" t="s">
        <v>489</v>
      </c>
      <c r="C75" t="s">
        <v>490</v>
      </c>
      <c r="D75" t="s">
        <v>490</v>
      </c>
      <c r="E75" t="s">
        <v>489</v>
      </c>
      <c r="F75" t="s">
        <v>490</v>
      </c>
      <c r="G75" t="s">
        <v>490</v>
      </c>
      <c r="H75" t="s">
        <v>490</v>
      </c>
      <c r="I75" t="s">
        <v>489</v>
      </c>
      <c r="J75" t="s">
        <v>490</v>
      </c>
      <c r="K75" t="s">
        <v>490</v>
      </c>
      <c r="L75" t="s">
        <v>490</v>
      </c>
      <c r="M75" t="s">
        <v>489</v>
      </c>
      <c r="N75" t="s">
        <v>489</v>
      </c>
      <c r="O75" t="s">
        <v>489</v>
      </c>
      <c r="P75" t="s">
        <v>490</v>
      </c>
      <c r="Q75" t="s">
        <v>490</v>
      </c>
      <c r="R75" t="s">
        <v>490</v>
      </c>
      <c r="S75" t="s">
        <v>489</v>
      </c>
      <c r="T75" t="s">
        <v>490</v>
      </c>
      <c r="U75" t="s">
        <v>490</v>
      </c>
      <c r="V75" t="s">
        <v>489</v>
      </c>
      <c r="W75" t="s">
        <v>490</v>
      </c>
      <c r="X75" t="s">
        <v>490</v>
      </c>
      <c r="Y75" t="s">
        <v>489</v>
      </c>
      <c r="Z75" t="s">
        <v>490</v>
      </c>
      <c r="AA75" t="s">
        <v>489</v>
      </c>
      <c r="AB75" t="s">
        <v>490</v>
      </c>
      <c r="AC75" t="s">
        <v>490</v>
      </c>
      <c r="AD75" t="s">
        <v>490</v>
      </c>
      <c r="AE75" t="s">
        <v>489</v>
      </c>
    </row>
    <row r="76" spans="1:31">
      <c r="A76" t="s">
        <v>974</v>
      </c>
      <c r="B76" t="s">
        <v>489</v>
      </c>
      <c r="C76" t="s">
        <v>489</v>
      </c>
      <c r="D76" t="s">
        <v>490</v>
      </c>
      <c r="E76" t="s">
        <v>489</v>
      </c>
      <c r="F76" t="s">
        <v>489</v>
      </c>
      <c r="G76" t="s">
        <v>490</v>
      </c>
      <c r="H76" t="s">
        <v>490</v>
      </c>
      <c r="I76" t="s">
        <v>490</v>
      </c>
      <c r="J76" t="s">
        <v>489</v>
      </c>
      <c r="K76" t="s">
        <v>489</v>
      </c>
      <c r="L76" t="s">
        <v>489</v>
      </c>
      <c r="M76" t="s">
        <v>490</v>
      </c>
      <c r="N76" t="s">
        <v>489</v>
      </c>
      <c r="O76" t="s">
        <v>490</v>
      </c>
      <c r="P76" t="s">
        <v>490</v>
      </c>
      <c r="Q76" t="s">
        <v>489</v>
      </c>
      <c r="R76" t="s">
        <v>490</v>
      </c>
      <c r="S76" t="s">
        <v>490</v>
      </c>
      <c r="T76" t="s">
        <v>489</v>
      </c>
      <c r="U76" t="s">
        <v>489</v>
      </c>
      <c r="V76" t="s">
        <v>490</v>
      </c>
      <c r="W76" t="s">
        <v>489</v>
      </c>
      <c r="X76" t="s">
        <v>489</v>
      </c>
      <c r="Y76" t="s">
        <v>490</v>
      </c>
      <c r="Z76" t="s">
        <v>489</v>
      </c>
      <c r="AA76" t="s">
        <v>490</v>
      </c>
      <c r="AB76" t="s">
        <v>490</v>
      </c>
      <c r="AC76" t="s">
        <v>490</v>
      </c>
      <c r="AD76" t="s">
        <v>490</v>
      </c>
      <c r="AE76" t="s">
        <v>489</v>
      </c>
    </row>
    <row r="77" spans="1:31">
      <c r="A77" t="s">
        <v>973</v>
      </c>
      <c r="B77" t="s">
        <v>489</v>
      </c>
      <c r="C77" t="s">
        <v>489</v>
      </c>
      <c r="D77" t="s">
        <v>490</v>
      </c>
      <c r="E77" t="s">
        <v>489</v>
      </c>
      <c r="F77" t="s">
        <v>489</v>
      </c>
      <c r="G77" t="s">
        <v>490</v>
      </c>
      <c r="H77" t="s">
        <v>490</v>
      </c>
      <c r="I77" t="s">
        <v>490</v>
      </c>
      <c r="J77" t="s">
        <v>489</v>
      </c>
      <c r="K77" t="s">
        <v>489</v>
      </c>
      <c r="L77" t="s">
        <v>489</v>
      </c>
      <c r="M77" t="s">
        <v>490</v>
      </c>
      <c r="N77" t="s">
        <v>489</v>
      </c>
      <c r="O77" t="s">
        <v>489</v>
      </c>
      <c r="P77" t="s">
        <v>490</v>
      </c>
      <c r="Q77" t="s">
        <v>489</v>
      </c>
      <c r="R77" t="s">
        <v>489</v>
      </c>
      <c r="S77" t="s">
        <v>490</v>
      </c>
      <c r="T77" t="s">
        <v>490</v>
      </c>
      <c r="U77" t="s">
        <v>490</v>
      </c>
      <c r="V77" t="s">
        <v>489</v>
      </c>
      <c r="W77" t="s">
        <v>489</v>
      </c>
      <c r="X77" t="s">
        <v>490</v>
      </c>
      <c r="Y77" t="s">
        <v>490</v>
      </c>
      <c r="Z77" t="s">
        <v>489</v>
      </c>
      <c r="AA77" t="s">
        <v>490</v>
      </c>
      <c r="AB77" t="s">
        <v>490</v>
      </c>
      <c r="AC77" t="s">
        <v>490</v>
      </c>
      <c r="AD77" t="s">
        <v>490</v>
      </c>
      <c r="AE77" t="s">
        <v>489</v>
      </c>
    </row>
    <row r="78" spans="1:31">
      <c r="A78" t="s">
        <v>972</v>
      </c>
      <c r="B78" t="s">
        <v>489</v>
      </c>
      <c r="C78" t="s">
        <v>490</v>
      </c>
      <c r="D78" t="s">
        <v>490</v>
      </c>
      <c r="E78" t="s">
        <v>489</v>
      </c>
      <c r="F78" t="s">
        <v>490</v>
      </c>
      <c r="G78" t="s">
        <v>490</v>
      </c>
      <c r="H78" t="s">
        <v>490</v>
      </c>
      <c r="I78" t="s">
        <v>490</v>
      </c>
      <c r="J78" t="s">
        <v>489</v>
      </c>
      <c r="K78" t="s">
        <v>490</v>
      </c>
      <c r="L78" t="s">
        <v>490</v>
      </c>
      <c r="M78" t="s">
        <v>489</v>
      </c>
      <c r="N78" t="s">
        <v>489</v>
      </c>
      <c r="O78" t="s">
        <v>490</v>
      </c>
      <c r="P78" t="s">
        <v>490</v>
      </c>
      <c r="Q78" t="s">
        <v>489</v>
      </c>
      <c r="R78" t="s">
        <v>490</v>
      </c>
      <c r="S78" t="s">
        <v>490</v>
      </c>
      <c r="T78" t="s">
        <v>490</v>
      </c>
      <c r="U78" t="s">
        <v>490</v>
      </c>
      <c r="V78" t="s">
        <v>489</v>
      </c>
      <c r="W78" t="s">
        <v>489</v>
      </c>
      <c r="X78" t="s">
        <v>490</v>
      </c>
      <c r="Y78" t="s">
        <v>490</v>
      </c>
      <c r="Z78" t="s">
        <v>489</v>
      </c>
      <c r="AA78" t="s">
        <v>490</v>
      </c>
      <c r="AB78" t="s">
        <v>490</v>
      </c>
      <c r="AC78" t="s">
        <v>490</v>
      </c>
      <c r="AD78" t="s">
        <v>490</v>
      </c>
      <c r="AE78" t="s">
        <v>489</v>
      </c>
    </row>
    <row r="79" spans="1:31">
      <c r="A79" t="s">
        <v>972</v>
      </c>
      <c r="B79" t="s">
        <v>489</v>
      </c>
      <c r="C79" t="s">
        <v>490</v>
      </c>
      <c r="D79" t="s">
        <v>490</v>
      </c>
      <c r="E79" t="s">
        <v>489</v>
      </c>
      <c r="F79" t="s">
        <v>490</v>
      </c>
      <c r="G79" t="s">
        <v>490</v>
      </c>
      <c r="H79" t="s">
        <v>490</v>
      </c>
      <c r="I79" t="s">
        <v>490</v>
      </c>
      <c r="J79" t="s">
        <v>489</v>
      </c>
      <c r="K79" t="s">
        <v>490</v>
      </c>
      <c r="L79" t="s">
        <v>490</v>
      </c>
      <c r="M79" t="s">
        <v>489</v>
      </c>
      <c r="N79" t="s">
        <v>489</v>
      </c>
      <c r="O79" t="s">
        <v>490</v>
      </c>
      <c r="P79" t="s">
        <v>490</v>
      </c>
      <c r="Q79" t="s">
        <v>490</v>
      </c>
      <c r="R79" t="s">
        <v>490</v>
      </c>
      <c r="S79" t="s">
        <v>489</v>
      </c>
      <c r="T79" t="s">
        <v>490</v>
      </c>
      <c r="U79" t="s">
        <v>490</v>
      </c>
      <c r="V79" t="s">
        <v>489</v>
      </c>
      <c r="W79" t="s">
        <v>489</v>
      </c>
      <c r="X79" t="s">
        <v>490</v>
      </c>
      <c r="Y79" t="s">
        <v>490</v>
      </c>
      <c r="Z79" t="s">
        <v>489</v>
      </c>
      <c r="AA79" t="s">
        <v>490</v>
      </c>
      <c r="AB79" t="s">
        <v>490</v>
      </c>
      <c r="AC79" t="s">
        <v>490</v>
      </c>
      <c r="AD79" t="s">
        <v>490</v>
      </c>
      <c r="AE79" t="s">
        <v>489</v>
      </c>
    </row>
    <row r="80" spans="1:31">
      <c r="A80" t="s">
        <v>973</v>
      </c>
      <c r="B80" t="s">
        <v>489</v>
      </c>
      <c r="C80" t="s">
        <v>489</v>
      </c>
      <c r="D80" t="s">
        <v>490</v>
      </c>
      <c r="E80" t="s">
        <v>489</v>
      </c>
      <c r="F80" t="s">
        <v>489</v>
      </c>
      <c r="G80" t="s">
        <v>490</v>
      </c>
      <c r="H80" t="s">
        <v>490</v>
      </c>
      <c r="I80" t="s">
        <v>489</v>
      </c>
      <c r="J80" t="s">
        <v>490</v>
      </c>
      <c r="K80" t="s">
        <v>490</v>
      </c>
      <c r="L80" t="s">
        <v>490</v>
      </c>
      <c r="M80" t="s">
        <v>489</v>
      </c>
      <c r="N80" t="s">
        <v>489</v>
      </c>
      <c r="O80" t="s">
        <v>489</v>
      </c>
      <c r="P80" t="s">
        <v>490</v>
      </c>
      <c r="Q80" t="s">
        <v>489</v>
      </c>
      <c r="R80" t="s">
        <v>490</v>
      </c>
      <c r="S80" t="s">
        <v>490</v>
      </c>
      <c r="T80" t="s">
        <v>490</v>
      </c>
      <c r="U80" t="s">
        <v>490</v>
      </c>
      <c r="V80" t="s">
        <v>489</v>
      </c>
      <c r="W80" t="s">
        <v>490</v>
      </c>
      <c r="X80" t="s">
        <v>490</v>
      </c>
      <c r="Y80" t="s">
        <v>489</v>
      </c>
      <c r="Z80" t="s">
        <v>489</v>
      </c>
      <c r="AA80" t="s">
        <v>490</v>
      </c>
      <c r="AB80" t="s">
        <v>490</v>
      </c>
      <c r="AC80" t="s">
        <v>490</v>
      </c>
      <c r="AD80" t="s">
        <v>490</v>
      </c>
      <c r="AE80" t="s">
        <v>489</v>
      </c>
    </row>
    <row r="81" spans="1:31">
      <c r="A81" t="s">
        <v>973</v>
      </c>
      <c r="B81" t="s">
        <v>489</v>
      </c>
      <c r="C81" t="s">
        <v>490</v>
      </c>
      <c r="D81" t="s">
        <v>490</v>
      </c>
      <c r="E81" t="s">
        <v>489</v>
      </c>
      <c r="F81" t="s">
        <v>490</v>
      </c>
      <c r="G81" t="s">
        <v>490</v>
      </c>
      <c r="H81" t="s">
        <v>490</v>
      </c>
      <c r="I81" t="s">
        <v>490</v>
      </c>
      <c r="J81" t="s">
        <v>489</v>
      </c>
      <c r="K81" t="s">
        <v>489</v>
      </c>
      <c r="L81" t="s">
        <v>490</v>
      </c>
      <c r="M81" t="s">
        <v>490</v>
      </c>
      <c r="N81" t="s">
        <v>489</v>
      </c>
      <c r="O81" t="s">
        <v>490</v>
      </c>
      <c r="P81" t="s">
        <v>490</v>
      </c>
      <c r="Q81" t="s">
        <v>489</v>
      </c>
      <c r="R81" t="s">
        <v>490</v>
      </c>
      <c r="S81" t="s">
        <v>490</v>
      </c>
      <c r="T81" t="s">
        <v>490</v>
      </c>
      <c r="U81" t="s">
        <v>490</v>
      </c>
      <c r="V81" t="s">
        <v>489</v>
      </c>
      <c r="W81" t="s">
        <v>490</v>
      </c>
      <c r="X81" t="s">
        <v>490</v>
      </c>
      <c r="Y81" t="s">
        <v>489</v>
      </c>
      <c r="Z81" t="s">
        <v>489</v>
      </c>
      <c r="AA81" t="s">
        <v>490</v>
      </c>
      <c r="AB81" t="s">
        <v>490</v>
      </c>
      <c r="AC81" t="s">
        <v>490</v>
      </c>
      <c r="AD81" t="s">
        <v>490</v>
      </c>
      <c r="AE81" t="s">
        <v>489</v>
      </c>
    </row>
    <row r="82" spans="1:31">
      <c r="A82" t="s">
        <v>972</v>
      </c>
      <c r="B82" t="s">
        <v>489</v>
      </c>
      <c r="C82" t="s">
        <v>490</v>
      </c>
      <c r="D82" t="s">
        <v>490</v>
      </c>
      <c r="E82" t="s">
        <v>489</v>
      </c>
      <c r="F82" t="s">
        <v>490</v>
      </c>
      <c r="G82" t="s">
        <v>490</v>
      </c>
      <c r="H82" t="s">
        <v>490</v>
      </c>
      <c r="I82" t="s">
        <v>490</v>
      </c>
      <c r="J82" t="s">
        <v>489</v>
      </c>
      <c r="K82" t="s">
        <v>489</v>
      </c>
      <c r="L82" t="s">
        <v>490</v>
      </c>
      <c r="M82" t="s">
        <v>490</v>
      </c>
      <c r="N82" t="s">
        <v>489</v>
      </c>
      <c r="O82" t="s">
        <v>490</v>
      </c>
      <c r="P82" t="s">
        <v>490</v>
      </c>
      <c r="Q82" t="s">
        <v>489</v>
      </c>
      <c r="R82" t="s">
        <v>490</v>
      </c>
      <c r="S82" t="s">
        <v>490</v>
      </c>
      <c r="T82" t="s">
        <v>489</v>
      </c>
      <c r="U82" t="s">
        <v>490</v>
      </c>
      <c r="V82" t="s">
        <v>490</v>
      </c>
      <c r="W82" t="s">
        <v>489</v>
      </c>
      <c r="X82" t="s">
        <v>490</v>
      </c>
      <c r="Y82" t="s">
        <v>490</v>
      </c>
      <c r="Z82" t="s">
        <v>490</v>
      </c>
      <c r="AA82" t="s">
        <v>490</v>
      </c>
      <c r="AB82" t="s">
        <v>489</v>
      </c>
      <c r="AC82" t="s">
        <v>490</v>
      </c>
      <c r="AD82" t="s">
        <v>490</v>
      </c>
      <c r="AE82" t="s">
        <v>489</v>
      </c>
    </row>
    <row r="83" spans="1:31">
      <c r="A83" t="s">
        <v>972</v>
      </c>
      <c r="B83" t="s">
        <v>489</v>
      </c>
      <c r="C83" t="s">
        <v>490</v>
      </c>
      <c r="D83" t="s">
        <v>490</v>
      </c>
      <c r="E83" t="s">
        <v>489</v>
      </c>
      <c r="F83" t="s">
        <v>490</v>
      </c>
      <c r="G83" t="s">
        <v>490</v>
      </c>
      <c r="H83" t="s">
        <v>490</v>
      </c>
      <c r="I83" t="s">
        <v>490</v>
      </c>
      <c r="J83" t="s">
        <v>489</v>
      </c>
      <c r="K83" t="s">
        <v>490</v>
      </c>
      <c r="L83" t="s">
        <v>490</v>
      </c>
      <c r="M83" t="s">
        <v>489</v>
      </c>
      <c r="N83" t="s">
        <v>490</v>
      </c>
      <c r="O83" t="s">
        <v>490</v>
      </c>
      <c r="P83" t="s">
        <v>489</v>
      </c>
      <c r="Q83" t="s">
        <v>490</v>
      </c>
      <c r="R83" t="s">
        <v>490</v>
      </c>
      <c r="S83" t="s">
        <v>489</v>
      </c>
      <c r="T83" t="s">
        <v>489</v>
      </c>
      <c r="U83" t="s">
        <v>490</v>
      </c>
      <c r="V83" t="s">
        <v>490</v>
      </c>
      <c r="W83" t="s">
        <v>489</v>
      </c>
      <c r="X83" t="s">
        <v>490</v>
      </c>
      <c r="Y83" t="s">
        <v>490</v>
      </c>
      <c r="Z83" t="s">
        <v>490</v>
      </c>
      <c r="AA83" t="s">
        <v>490</v>
      </c>
      <c r="AB83" t="s">
        <v>489</v>
      </c>
      <c r="AC83" t="s">
        <v>490</v>
      </c>
      <c r="AD83" t="s">
        <v>490</v>
      </c>
      <c r="AE83" t="s">
        <v>489</v>
      </c>
    </row>
    <row r="84" spans="1:31">
      <c r="A84" t="s">
        <v>972</v>
      </c>
      <c r="B84" t="s">
        <v>489</v>
      </c>
      <c r="C84" t="s">
        <v>490</v>
      </c>
      <c r="D84" t="s">
        <v>490</v>
      </c>
      <c r="E84" t="s">
        <v>489</v>
      </c>
      <c r="F84" t="s">
        <v>490</v>
      </c>
      <c r="G84" t="s">
        <v>490</v>
      </c>
      <c r="H84" t="s">
        <v>490</v>
      </c>
      <c r="I84" t="s">
        <v>490</v>
      </c>
      <c r="J84" t="s">
        <v>489</v>
      </c>
      <c r="K84" t="s">
        <v>489</v>
      </c>
      <c r="L84" t="s">
        <v>490</v>
      </c>
      <c r="M84" t="s">
        <v>490</v>
      </c>
      <c r="N84" t="s">
        <v>489</v>
      </c>
      <c r="O84" t="s">
        <v>490</v>
      </c>
      <c r="P84" t="s">
        <v>490</v>
      </c>
      <c r="Q84" t="s">
        <v>489</v>
      </c>
      <c r="R84" t="s">
        <v>490</v>
      </c>
      <c r="S84" t="s">
        <v>490</v>
      </c>
      <c r="T84" t="s">
        <v>490</v>
      </c>
      <c r="U84" t="s">
        <v>490</v>
      </c>
      <c r="V84" t="s">
        <v>489</v>
      </c>
      <c r="W84" t="s">
        <v>489</v>
      </c>
      <c r="X84" t="s">
        <v>490</v>
      </c>
      <c r="Y84" t="s">
        <v>490</v>
      </c>
      <c r="Z84" t="s">
        <v>490</v>
      </c>
      <c r="AA84" t="s">
        <v>490</v>
      </c>
      <c r="AB84" t="s">
        <v>489</v>
      </c>
      <c r="AC84" t="s">
        <v>490</v>
      </c>
      <c r="AD84" t="s">
        <v>490</v>
      </c>
      <c r="AE84" t="s">
        <v>489</v>
      </c>
    </row>
    <row r="85" spans="1:31">
      <c r="A85" t="s">
        <v>972</v>
      </c>
      <c r="B85" t="s">
        <v>489</v>
      </c>
      <c r="C85" t="s">
        <v>490</v>
      </c>
      <c r="D85" t="s">
        <v>490</v>
      </c>
      <c r="E85" t="s">
        <v>489</v>
      </c>
      <c r="F85" t="s">
        <v>490</v>
      </c>
      <c r="G85" t="s">
        <v>490</v>
      </c>
      <c r="H85" t="s">
        <v>490</v>
      </c>
      <c r="I85" t="s">
        <v>490</v>
      </c>
      <c r="J85" t="s">
        <v>489</v>
      </c>
      <c r="K85" t="s">
        <v>490</v>
      </c>
      <c r="L85" t="s">
        <v>490</v>
      </c>
      <c r="M85" t="s">
        <v>489</v>
      </c>
      <c r="N85" t="s">
        <v>489</v>
      </c>
      <c r="O85" t="s">
        <v>490</v>
      </c>
      <c r="P85" t="s">
        <v>490</v>
      </c>
      <c r="Q85" t="s">
        <v>489</v>
      </c>
      <c r="R85" t="s">
        <v>490</v>
      </c>
      <c r="S85" t="s">
        <v>490</v>
      </c>
      <c r="T85" t="s">
        <v>490</v>
      </c>
      <c r="U85" t="s">
        <v>490</v>
      </c>
      <c r="V85" t="s">
        <v>489</v>
      </c>
      <c r="W85" t="s">
        <v>489</v>
      </c>
      <c r="X85" t="s">
        <v>490</v>
      </c>
      <c r="Y85" t="s">
        <v>490</v>
      </c>
      <c r="Z85" t="s">
        <v>490</v>
      </c>
      <c r="AA85" t="s">
        <v>490</v>
      </c>
      <c r="AB85" t="s">
        <v>489</v>
      </c>
      <c r="AC85" t="s">
        <v>490</v>
      </c>
      <c r="AD85" t="s">
        <v>490</v>
      </c>
      <c r="AE85" t="s">
        <v>489</v>
      </c>
    </row>
    <row r="86" spans="1:31">
      <c r="A86" t="s">
        <v>972</v>
      </c>
      <c r="B86" t="s">
        <v>489</v>
      </c>
      <c r="C86" t="s">
        <v>490</v>
      </c>
      <c r="D86" t="s">
        <v>490</v>
      </c>
      <c r="E86" t="s">
        <v>489</v>
      </c>
      <c r="F86" t="s">
        <v>490</v>
      </c>
      <c r="G86" t="s">
        <v>490</v>
      </c>
      <c r="H86" t="s">
        <v>490</v>
      </c>
      <c r="I86" t="s">
        <v>490</v>
      </c>
      <c r="J86" t="s">
        <v>489</v>
      </c>
      <c r="K86" t="s">
        <v>490</v>
      </c>
      <c r="L86" t="s">
        <v>490</v>
      </c>
      <c r="M86" t="s">
        <v>489</v>
      </c>
      <c r="N86" t="s">
        <v>490</v>
      </c>
      <c r="O86" t="s">
        <v>490</v>
      </c>
      <c r="P86" t="s">
        <v>489</v>
      </c>
      <c r="Q86" t="s">
        <v>490</v>
      </c>
      <c r="R86" t="s">
        <v>490</v>
      </c>
      <c r="S86" t="s">
        <v>489</v>
      </c>
      <c r="T86" t="s">
        <v>490</v>
      </c>
      <c r="U86" t="s">
        <v>490</v>
      </c>
      <c r="V86" t="s">
        <v>489</v>
      </c>
      <c r="W86" t="s">
        <v>489</v>
      </c>
      <c r="X86" t="s">
        <v>490</v>
      </c>
      <c r="Y86" t="s">
        <v>490</v>
      </c>
      <c r="Z86" t="s">
        <v>490</v>
      </c>
      <c r="AA86" t="s">
        <v>490</v>
      </c>
      <c r="AB86" t="s">
        <v>489</v>
      </c>
      <c r="AC86" t="s">
        <v>490</v>
      </c>
      <c r="AD86" t="s">
        <v>490</v>
      </c>
      <c r="AE86" t="s">
        <v>489</v>
      </c>
    </row>
    <row r="87" spans="1:31">
      <c r="A87" t="s">
        <v>972</v>
      </c>
      <c r="B87" t="s">
        <v>489</v>
      </c>
      <c r="C87" t="s">
        <v>490</v>
      </c>
      <c r="D87" t="s">
        <v>490</v>
      </c>
      <c r="E87" t="s">
        <v>489</v>
      </c>
      <c r="F87" t="s">
        <v>490</v>
      </c>
      <c r="G87" t="s">
        <v>490</v>
      </c>
      <c r="H87" t="s">
        <v>490</v>
      </c>
      <c r="I87" t="s">
        <v>490</v>
      </c>
      <c r="J87" t="s">
        <v>489</v>
      </c>
      <c r="K87" t="s">
        <v>490</v>
      </c>
      <c r="L87" t="s">
        <v>490</v>
      </c>
      <c r="M87" t="s">
        <v>489</v>
      </c>
      <c r="N87" t="s">
        <v>489</v>
      </c>
      <c r="O87" t="s">
        <v>490</v>
      </c>
      <c r="P87" t="s">
        <v>490</v>
      </c>
      <c r="Q87" t="s">
        <v>489</v>
      </c>
      <c r="R87" t="s">
        <v>490</v>
      </c>
      <c r="S87" t="s">
        <v>490</v>
      </c>
      <c r="T87" t="s">
        <v>489</v>
      </c>
      <c r="U87" t="s">
        <v>490</v>
      </c>
      <c r="V87" t="s">
        <v>490</v>
      </c>
      <c r="W87" t="s">
        <v>490</v>
      </c>
      <c r="X87" t="s">
        <v>490</v>
      </c>
      <c r="Y87" t="s">
        <v>489</v>
      </c>
      <c r="Z87" t="s">
        <v>490</v>
      </c>
      <c r="AA87" t="s">
        <v>490</v>
      </c>
      <c r="AB87" t="s">
        <v>489</v>
      </c>
      <c r="AC87" t="s">
        <v>490</v>
      </c>
      <c r="AD87" t="s">
        <v>490</v>
      </c>
      <c r="AE87" t="s">
        <v>489</v>
      </c>
    </row>
    <row r="88" spans="1:31">
      <c r="A88" t="s">
        <v>972</v>
      </c>
      <c r="B88" t="s">
        <v>489</v>
      </c>
      <c r="C88" t="s">
        <v>489</v>
      </c>
      <c r="D88" t="s">
        <v>490</v>
      </c>
      <c r="E88" t="s">
        <v>489</v>
      </c>
      <c r="F88" t="s">
        <v>489</v>
      </c>
      <c r="G88" t="s">
        <v>490</v>
      </c>
      <c r="H88" t="s">
        <v>490</v>
      </c>
      <c r="I88" t="s">
        <v>490</v>
      </c>
      <c r="J88" t="s">
        <v>489</v>
      </c>
      <c r="K88" t="s">
        <v>490</v>
      </c>
      <c r="L88" t="s">
        <v>490</v>
      </c>
      <c r="M88" t="s">
        <v>489</v>
      </c>
      <c r="N88" t="s">
        <v>490</v>
      </c>
      <c r="O88" t="s">
        <v>490</v>
      </c>
      <c r="P88" t="s">
        <v>489</v>
      </c>
      <c r="Q88" t="s">
        <v>489</v>
      </c>
      <c r="R88" t="s">
        <v>489</v>
      </c>
      <c r="S88" t="s">
        <v>490</v>
      </c>
      <c r="T88" t="s">
        <v>490</v>
      </c>
      <c r="U88" t="s">
        <v>490</v>
      </c>
      <c r="V88" t="s">
        <v>489</v>
      </c>
      <c r="W88" t="s">
        <v>490</v>
      </c>
      <c r="X88" t="s">
        <v>490</v>
      </c>
      <c r="Y88" t="s">
        <v>489</v>
      </c>
      <c r="Z88" t="s">
        <v>490</v>
      </c>
      <c r="AA88" t="s">
        <v>490</v>
      </c>
      <c r="AB88" t="s">
        <v>489</v>
      </c>
      <c r="AC88" t="s">
        <v>490</v>
      </c>
      <c r="AD88" t="s">
        <v>490</v>
      </c>
      <c r="AE88" t="s">
        <v>489</v>
      </c>
    </row>
    <row r="89" spans="1:31">
      <c r="A89" t="s">
        <v>972</v>
      </c>
      <c r="B89" t="s">
        <v>489</v>
      </c>
      <c r="C89" t="s">
        <v>490</v>
      </c>
      <c r="D89" t="s">
        <v>490</v>
      </c>
      <c r="E89" t="s">
        <v>489</v>
      </c>
      <c r="F89" t="s">
        <v>490</v>
      </c>
      <c r="G89" t="s">
        <v>490</v>
      </c>
      <c r="H89" t="s">
        <v>490</v>
      </c>
      <c r="I89" t="s">
        <v>490</v>
      </c>
      <c r="J89" t="s">
        <v>489</v>
      </c>
      <c r="K89" t="s">
        <v>489</v>
      </c>
      <c r="L89" t="s">
        <v>490</v>
      </c>
      <c r="M89" t="s">
        <v>490</v>
      </c>
      <c r="N89" t="s">
        <v>489</v>
      </c>
      <c r="O89" t="s">
        <v>490</v>
      </c>
      <c r="P89" t="s">
        <v>490</v>
      </c>
      <c r="Q89" t="s">
        <v>489</v>
      </c>
      <c r="R89" t="s">
        <v>490</v>
      </c>
      <c r="S89" t="s">
        <v>490</v>
      </c>
      <c r="T89" t="s">
        <v>490</v>
      </c>
      <c r="U89" t="s">
        <v>490</v>
      </c>
      <c r="V89" t="s">
        <v>489</v>
      </c>
      <c r="W89" t="s">
        <v>490</v>
      </c>
      <c r="X89" t="s">
        <v>490</v>
      </c>
      <c r="Y89" t="s">
        <v>489</v>
      </c>
      <c r="Z89" t="s">
        <v>490</v>
      </c>
      <c r="AA89" t="s">
        <v>490</v>
      </c>
      <c r="AB89" t="s">
        <v>489</v>
      </c>
      <c r="AC89" t="s">
        <v>490</v>
      </c>
      <c r="AD89" t="s">
        <v>490</v>
      </c>
      <c r="AE89" t="s">
        <v>489</v>
      </c>
    </row>
    <row r="90" spans="1:31">
      <c r="A90" t="s">
        <v>972</v>
      </c>
      <c r="B90" t="s">
        <v>489</v>
      </c>
      <c r="C90" t="s">
        <v>490</v>
      </c>
      <c r="D90" t="s">
        <v>490</v>
      </c>
      <c r="E90" t="s">
        <v>489</v>
      </c>
      <c r="F90" t="s">
        <v>490</v>
      </c>
      <c r="G90" t="s">
        <v>490</v>
      </c>
      <c r="H90" t="s">
        <v>490</v>
      </c>
      <c r="I90" t="s">
        <v>490</v>
      </c>
      <c r="J90" t="s">
        <v>489</v>
      </c>
      <c r="K90" t="s">
        <v>490</v>
      </c>
      <c r="L90" t="s">
        <v>490</v>
      </c>
      <c r="M90" t="s">
        <v>489</v>
      </c>
      <c r="N90" t="s">
        <v>489</v>
      </c>
      <c r="O90" t="s">
        <v>490</v>
      </c>
      <c r="P90" t="s">
        <v>490</v>
      </c>
      <c r="Q90" t="s">
        <v>489</v>
      </c>
      <c r="R90" t="s">
        <v>490</v>
      </c>
      <c r="S90" t="s">
        <v>490</v>
      </c>
      <c r="T90" t="s">
        <v>490</v>
      </c>
      <c r="U90" t="s">
        <v>490</v>
      </c>
      <c r="V90" t="s">
        <v>489</v>
      </c>
      <c r="W90" t="s">
        <v>490</v>
      </c>
      <c r="X90" t="s">
        <v>490</v>
      </c>
      <c r="Y90" t="s">
        <v>489</v>
      </c>
      <c r="Z90" t="s">
        <v>490</v>
      </c>
      <c r="AA90" t="s">
        <v>490</v>
      </c>
      <c r="AB90" t="s">
        <v>489</v>
      </c>
      <c r="AC90" t="s">
        <v>490</v>
      </c>
      <c r="AD90" t="s">
        <v>490</v>
      </c>
      <c r="AE90" t="s">
        <v>489</v>
      </c>
    </row>
    <row r="91" spans="1:31">
      <c r="A91" t="s">
        <v>972</v>
      </c>
      <c r="B91" t="s">
        <v>489</v>
      </c>
      <c r="C91" t="s">
        <v>490</v>
      </c>
      <c r="D91" t="s">
        <v>490</v>
      </c>
      <c r="E91" t="s">
        <v>489</v>
      </c>
      <c r="F91" t="s">
        <v>490</v>
      </c>
      <c r="G91" t="s">
        <v>490</v>
      </c>
      <c r="H91" t="s">
        <v>490</v>
      </c>
      <c r="I91" t="s">
        <v>490</v>
      </c>
      <c r="J91" t="s">
        <v>489</v>
      </c>
      <c r="K91" t="s">
        <v>489</v>
      </c>
      <c r="L91" t="s">
        <v>490</v>
      </c>
      <c r="M91" t="s">
        <v>490</v>
      </c>
      <c r="N91" t="s">
        <v>490</v>
      </c>
      <c r="O91" t="s">
        <v>490</v>
      </c>
      <c r="P91" t="s">
        <v>489</v>
      </c>
      <c r="Q91" t="s">
        <v>489</v>
      </c>
      <c r="R91" t="s">
        <v>490</v>
      </c>
      <c r="S91" t="s">
        <v>490</v>
      </c>
      <c r="T91" t="s">
        <v>490</v>
      </c>
      <c r="U91" t="s">
        <v>490</v>
      </c>
      <c r="V91" t="s">
        <v>489</v>
      </c>
      <c r="W91" t="s">
        <v>490</v>
      </c>
      <c r="X91" t="s">
        <v>490</v>
      </c>
      <c r="Y91" t="s">
        <v>489</v>
      </c>
      <c r="Z91" t="s">
        <v>490</v>
      </c>
      <c r="AA91" t="s">
        <v>490</v>
      </c>
      <c r="AB91" t="s">
        <v>489</v>
      </c>
      <c r="AC91" t="s">
        <v>490</v>
      </c>
      <c r="AD91" t="s">
        <v>490</v>
      </c>
      <c r="AE91" t="s">
        <v>489</v>
      </c>
    </row>
    <row r="92" spans="1:31">
      <c r="A92" t="s">
        <v>972</v>
      </c>
      <c r="B92" t="s">
        <v>489</v>
      </c>
      <c r="C92" t="s">
        <v>490</v>
      </c>
      <c r="D92" t="s">
        <v>490</v>
      </c>
      <c r="E92" t="s">
        <v>489</v>
      </c>
      <c r="F92" t="s">
        <v>490</v>
      </c>
      <c r="G92" t="s">
        <v>490</v>
      </c>
      <c r="H92" t="s">
        <v>490</v>
      </c>
      <c r="I92" t="s">
        <v>490</v>
      </c>
      <c r="J92" t="s">
        <v>489</v>
      </c>
      <c r="K92" t="s">
        <v>490</v>
      </c>
      <c r="L92" t="s">
        <v>490</v>
      </c>
      <c r="M92" t="s">
        <v>489</v>
      </c>
      <c r="N92" t="s">
        <v>490</v>
      </c>
      <c r="O92" t="s">
        <v>490</v>
      </c>
      <c r="P92" t="s">
        <v>489</v>
      </c>
      <c r="Q92" t="s">
        <v>489</v>
      </c>
      <c r="R92" t="s">
        <v>490</v>
      </c>
      <c r="S92" t="s">
        <v>490</v>
      </c>
      <c r="T92" t="s">
        <v>490</v>
      </c>
      <c r="U92" t="s">
        <v>490</v>
      </c>
      <c r="V92" t="s">
        <v>489</v>
      </c>
      <c r="W92" t="s">
        <v>490</v>
      </c>
      <c r="X92" t="s">
        <v>490</v>
      </c>
      <c r="Y92" t="s">
        <v>489</v>
      </c>
      <c r="Z92" t="s">
        <v>490</v>
      </c>
      <c r="AA92" t="s">
        <v>490</v>
      </c>
      <c r="AB92" t="s">
        <v>489</v>
      </c>
      <c r="AC92" t="s">
        <v>490</v>
      </c>
      <c r="AD92" t="s">
        <v>490</v>
      </c>
      <c r="AE92" t="s">
        <v>489</v>
      </c>
    </row>
    <row r="93" spans="1:31">
      <c r="A93" t="s">
        <v>972</v>
      </c>
      <c r="B93" t="s">
        <v>489</v>
      </c>
      <c r="C93" t="s">
        <v>489</v>
      </c>
      <c r="D93" t="s">
        <v>490</v>
      </c>
      <c r="E93" t="s">
        <v>489</v>
      </c>
      <c r="F93" t="s">
        <v>490</v>
      </c>
      <c r="G93" t="s">
        <v>490</v>
      </c>
      <c r="H93" t="s">
        <v>490</v>
      </c>
      <c r="I93" t="s">
        <v>490</v>
      </c>
      <c r="J93" t="s">
        <v>489</v>
      </c>
      <c r="K93" t="s">
        <v>490</v>
      </c>
      <c r="L93" t="s">
        <v>490</v>
      </c>
      <c r="M93" t="s">
        <v>489</v>
      </c>
      <c r="N93" t="s">
        <v>489</v>
      </c>
      <c r="O93" t="s">
        <v>490</v>
      </c>
      <c r="P93" t="s">
        <v>490</v>
      </c>
      <c r="Q93" t="s">
        <v>490</v>
      </c>
      <c r="R93" t="s">
        <v>490</v>
      </c>
      <c r="S93" t="s">
        <v>489</v>
      </c>
      <c r="T93" t="s">
        <v>490</v>
      </c>
      <c r="U93" t="s">
        <v>490</v>
      </c>
      <c r="V93" t="s">
        <v>489</v>
      </c>
      <c r="W93" t="s">
        <v>490</v>
      </c>
      <c r="X93" t="s">
        <v>490</v>
      </c>
      <c r="Y93" t="s">
        <v>489</v>
      </c>
      <c r="Z93" t="s">
        <v>490</v>
      </c>
      <c r="AA93" t="s">
        <v>490</v>
      </c>
      <c r="AB93" t="s">
        <v>489</v>
      </c>
      <c r="AC93" t="s">
        <v>490</v>
      </c>
      <c r="AD93" t="s">
        <v>490</v>
      </c>
      <c r="AE93" t="s">
        <v>489</v>
      </c>
    </row>
    <row r="94" spans="1:31">
      <c r="A94" t="s">
        <v>972</v>
      </c>
      <c r="B94" t="s">
        <v>489</v>
      </c>
      <c r="C94" t="s">
        <v>490</v>
      </c>
      <c r="D94" t="s">
        <v>490</v>
      </c>
      <c r="E94" t="s">
        <v>489</v>
      </c>
      <c r="F94" t="s">
        <v>490</v>
      </c>
      <c r="G94" t="s">
        <v>490</v>
      </c>
      <c r="H94" t="s">
        <v>490</v>
      </c>
      <c r="I94" t="s">
        <v>490</v>
      </c>
      <c r="J94" t="s">
        <v>489</v>
      </c>
      <c r="K94" t="s">
        <v>490</v>
      </c>
      <c r="L94" t="s">
        <v>490</v>
      </c>
      <c r="M94" t="s">
        <v>489</v>
      </c>
      <c r="N94" t="s">
        <v>489</v>
      </c>
      <c r="O94" t="s">
        <v>490</v>
      </c>
      <c r="P94" t="s">
        <v>490</v>
      </c>
      <c r="Q94" t="s">
        <v>490</v>
      </c>
      <c r="R94" t="s">
        <v>490</v>
      </c>
      <c r="S94" t="s">
        <v>489</v>
      </c>
      <c r="T94" t="s">
        <v>490</v>
      </c>
      <c r="U94" t="s">
        <v>490</v>
      </c>
      <c r="V94" t="s">
        <v>489</v>
      </c>
      <c r="W94" t="s">
        <v>490</v>
      </c>
      <c r="X94" t="s">
        <v>490</v>
      </c>
      <c r="Y94" t="s">
        <v>489</v>
      </c>
      <c r="Z94" t="s">
        <v>490</v>
      </c>
      <c r="AA94" t="s">
        <v>490</v>
      </c>
      <c r="AB94" t="s">
        <v>489</v>
      </c>
      <c r="AC94" t="s">
        <v>490</v>
      </c>
      <c r="AD94" t="s">
        <v>490</v>
      </c>
      <c r="AE94" t="s">
        <v>489</v>
      </c>
    </row>
    <row r="95" spans="1:31">
      <c r="A95" t="s">
        <v>972</v>
      </c>
      <c r="B95" t="s">
        <v>489</v>
      </c>
      <c r="C95" t="s">
        <v>490</v>
      </c>
      <c r="D95" t="s">
        <v>490</v>
      </c>
      <c r="E95" t="s">
        <v>489</v>
      </c>
      <c r="F95" t="s">
        <v>490</v>
      </c>
      <c r="G95" t="s">
        <v>490</v>
      </c>
      <c r="H95" t="s">
        <v>490</v>
      </c>
      <c r="I95" t="s">
        <v>490</v>
      </c>
      <c r="J95" t="s">
        <v>489</v>
      </c>
      <c r="K95" t="s">
        <v>490</v>
      </c>
      <c r="L95" t="s">
        <v>490</v>
      </c>
      <c r="M95" t="s">
        <v>489</v>
      </c>
      <c r="N95" t="s">
        <v>489</v>
      </c>
      <c r="O95" t="s">
        <v>490</v>
      </c>
      <c r="P95" t="s">
        <v>490</v>
      </c>
      <c r="Q95" t="s">
        <v>490</v>
      </c>
      <c r="R95" t="s">
        <v>490</v>
      </c>
      <c r="S95" t="s">
        <v>489</v>
      </c>
      <c r="T95" t="s">
        <v>490</v>
      </c>
      <c r="U95" t="s">
        <v>490</v>
      </c>
      <c r="V95" t="s">
        <v>489</v>
      </c>
      <c r="W95" t="s">
        <v>490</v>
      </c>
      <c r="X95" t="s">
        <v>490</v>
      </c>
      <c r="Y95" t="s">
        <v>489</v>
      </c>
      <c r="Z95" t="s">
        <v>490</v>
      </c>
      <c r="AA95" t="s">
        <v>490</v>
      </c>
      <c r="AB95" t="s">
        <v>489</v>
      </c>
      <c r="AC95" t="s">
        <v>490</v>
      </c>
      <c r="AD95" t="s">
        <v>490</v>
      </c>
      <c r="AE95" t="s">
        <v>489</v>
      </c>
    </row>
    <row r="96" spans="1:31">
      <c r="A96" t="s">
        <v>972</v>
      </c>
      <c r="B96" t="s">
        <v>489</v>
      </c>
      <c r="C96" t="s">
        <v>490</v>
      </c>
      <c r="D96" t="s">
        <v>490</v>
      </c>
      <c r="E96" t="s">
        <v>490</v>
      </c>
      <c r="F96" t="s">
        <v>490</v>
      </c>
      <c r="G96" t="s">
        <v>489</v>
      </c>
      <c r="H96" t="s">
        <v>490</v>
      </c>
      <c r="I96" t="s">
        <v>490</v>
      </c>
      <c r="J96" t="s">
        <v>489</v>
      </c>
      <c r="K96" t="s">
        <v>490</v>
      </c>
      <c r="L96" t="s">
        <v>490</v>
      </c>
      <c r="M96" t="s">
        <v>489</v>
      </c>
      <c r="N96" t="s">
        <v>490</v>
      </c>
      <c r="O96" t="s">
        <v>490</v>
      </c>
      <c r="P96" t="s">
        <v>489</v>
      </c>
      <c r="Q96" t="s">
        <v>490</v>
      </c>
      <c r="R96" t="s">
        <v>490</v>
      </c>
      <c r="S96" t="s">
        <v>489</v>
      </c>
      <c r="T96" t="s">
        <v>490</v>
      </c>
      <c r="U96" t="s">
        <v>490</v>
      </c>
      <c r="V96" t="s">
        <v>489</v>
      </c>
      <c r="W96" t="s">
        <v>490</v>
      </c>
      <c r="X96" t="s">
        <v>490</v>
      </c>
      <c r="Y96" t="s">
        <v>489</v>
      </c>
      <c r="Z96" t="s">
        <v>490</v>
      </c>
      <c r="AA96" t="s">
        <v>490</v>
      </c>
      <c r="AB96" t="s">
        <v>489</v>
      </c>
      <c r="AC96" t="s">
        <v>490</v>
      </c>
      <c r="AD96" t="s">
        <v>490</v>
      </c>
      <c r="AE96" t="s">
        <v>489</v>
      </c>
    </row>
    <row r="97" spans="1:31">
      <c r="A97" t="s">
        <v>972</v>
      </c>
      <c r="B97" t="s">
        <v>489</v>
      </c>
      <c r="C97" t="s">
        <v>490</v>
      </c>
      <c r="D97" t="s">
        <v>490</v>
      </c>
      <c r="E97" t="s">
        <v>489</v>
      </c>
      <c r="F97" t="s">
        <v>490</v>
      </c>
      <c r="G97" t="s">
        <v>490</v>
      </c>
      <c r="H97" t="s">
        <v>490</v>
      </c>
      <c r="I97" t="s">
        <v>490</v>
      </c>
      <c r="J97" t="s">
        <v>489</v>
      </c>
      <c r="K97" t="s">
        <v>490</v>
      </c>
      <c r="L97" t="s">
        <v>490</v>
      </c>
      <c r="M97" t="s">
        <v>489</v>
      </c>
      <c r="N97" t="s">
        <v>490</v>
      </c>
      <c r="O97" t="s">
        <v>490</v>
      </c>
      <c r="P97" t="s">
        <v>489</v>
      </c>
      <c r="Q97" t="s">
        <v>490</v>
      </c>
      <c r="R97" t="s">
        <v>490</v>
      </c>
      <c r="S97" t="s">
        <v>489</v>
      </c>
      <c r="T97" t="s">
        <v>490</v>
      </c>
      <c r="U97" t="s">
        <v>490</v>
      </c>
      <c r="V97" t="s">
        <v>489</v>
      </c>
      <c r="W97" t="s">
        <v>490</v>
      </c>
      <c r="X97" t="s">
        <v>490</v>
      </c>
      <c r="Y97" t="s">
        <v>489</v>
      </c>
      <c r="Z97" t="s">
        <v>490</v>
      </c>
      <c r="AA97" t="s">
        <v>490</v>
      </c>
      <c r="AB97" t="s">
        <v>489</v>
      </c>
      <c r="AC97" t="s">
        <v>490</v>
      </c>
      <c r="AD97" t="s">
        <v>490</v>
      </c>
      <c r="AE97" t="s">
        <v>489</v>
      </c>
    </row>
    <row r="98" spans="1:31">
      <c r="A98" t="s">
        <v>972</v>
      </c>
      <c r="B98" t="s">
        <v>489</v>
      </c>
      <c r="C98" t="s">
        <v>490</v>
      </c>
      <c r="D98" t="s">
        <v>490</v>
      </c>
      <c r="E98" t="s">
        <v>489</v>
      </c>
      <c r="F98" t="s">
        <v>490</v>
      </c>
      <c r="G98" t="s">
        <v>490</v>
      </c>
      <c r="H98" t="s">
        <v>490</v>
      </c>
      <c r="I98" t="s">
        <v>490</v>
      </c>
      <c r="J98" t="s">
        <v>489</v>
      </c>
      <c r="K98" t="s">
        <v>490</v>
      </c>
      <c r="L98" t="s">
        <v>490</v>
      </c>
      <c r="M98" t="s">
        <v>489</v>
      </c>
      <c r="N98" t="s">
        <v>490</v>
      </c>
      <c r="O98" t="s">
        <v>490</v>
      </c>
      <c r="P98" t="s">
        <v>489</v>
      </c>
      <c r="Q98" t="s">
        <v>490</v>
      </c>
      <c r="R98" t="s">
        <v>490</v>
      </c>
      <c r="S98" t="s">
        <v>489</v>
      </c>
      <c r="T98" t="s">
        <v>490</v>
      </c>
      <c r="U98" t="s">
        <v>490</v>
      </c>
      <c r="V98" t="s">
        <v>489</v>
      </c>
      <c r="W98" t="s">
        <v>490</v>
      </c>
      <c r="X98" t="s">
        <v>490</v>
      </c>
      <c r="Y98" t="s">
        <v>489</v>
      </c>
      <c r="Z98" t="s">
        <v>490</v>
      </c>
      <c r="AA98" t="s">
        <v>490</v>
      </c>
      <c r="AB98" t="s">
        <v>489</v>
      </c>
      <c r="AC98" t="s">
        <v>490</v>
      </c>
      <c r="AD98" t="s">
        <v>490</v>
      </c>
      <c r="AE98" t="s">
        <v>489</v>
      </c>
    </row>
    <row r="99" spans="1:31">
      <c r="A99" t="s">
        <v>972</v>
      </c>
      <c r="B99" t="s">
        <v>489</v>
      </c>
      <c r="C99" t="s">
        <v>490</v>
      </c>
      <c r="D99" t="s">
        <v>490</v>
      </c>
      <c r="E99" t="s">
        <v>489</v>
      </c>
      <c r="F99" t="s">
        <v>490</v>
      </c>
      <c r="G99" t="s">
        <v>490</v>
      </c>
      <c r="H99" t="s">
        <v>490</v>
      </c>
      <c r="I99" t="s">
        <v>490</v>
      </c>
      <c r="J99" t="s">
        <v>489</v>
      </c>
      <c r="K99" t="s">
        <v>490</v>
      </c>
      <c r="L99" t="s">
        <v>490</v>
      </c>
      <c r="M99" t="s">
        <v>489</v>
      </c>
      <c r="N99" t="s">
        <v>490</v>
      </c>
      <c r="O99" t="s">
        <v>490</v>
      </c>
      <c r="P99" t="s">
        <v>489</v>
      </c>
      <c r="Q99" t="s">
        <v>490</v>
      </c>
      <c r="R99" t="s">
        <v>490</v>
      </c>
      <c r="S99" t="s">
        <v>489</v>
      </c>
      <c r="T99" t="s">
        <v>490</v>
      </c>
      <c r="U99" t="s">
        <v>490</v>
      </c>
      <c r="V99" t="s">
        <v>489</v>
      </c>
      <c r="W99" t="s">
        <v>490</v>
      </c>
      <c r="X99" t="s">
        <v>490</v>
      </c>
      <c r="Y99" t="s">
        <v>489</v>
      </c>
      <c r="Z99" t="s">
        <v>490</v>
      </c>
      <c r="AA99" t="s">
        <v>490</v>
      </c>
      <c r="AB99" t="s">
        <v>489</v>
      </c>
      <c r="AC99" t="s">
        <v>490</v>
      </c>
      <c r="AD99" t="s">
        <v>490</v>
      </c>
      <c r="AE99" t="s">
        <v>489</v>
      </c>
    </row>
    <row r="100" spans="1:31">
      <c r="A100" t="s">
        <v>972</v>
      </c>
      <c r="B100" t="s">
        <v>489</v>
      </c>
      <c r="C100" t="s">
        <v>490</v>
      </c>
      <c r="D100" t="s">
        <v>490</v>
      </c>
      <c r="E100" t="s">
        <v>489</v>
      </c>
      <c r="F100" t="s">
        <v>490</v>
      </c>
      <c r="G100" t="s">
        <v>490</v>
      </c>
      <c r="H100" t="s">
        <v>490</v>
      </c>
      <c r="I100" t="s">
        <v>490</v>
      </c>
      <c r="J100" t="s">
        <v>489</v>
      </c>
      <c r="K100" t="s">
        <v>490</v>
      </c>
      <c r="L100" t="s">
        <v>490</v>
      </c>
      <c r="M100" t="s">
        <v>489</v>
      </c>
      <c r="N100" t="s">
        <v>490</v>
      </c>
      <c r="O100" t="s">
        <v>490</v>
      </c>
      <c r="P100" t="s">
        <v>489</v>
      </c>
      <c r="Q100" t="s">
        <v>490</v>
      </c>
      <c r="R100" t="s">
        <v>490</v>
      </c>
      <c r="S100" t="s">
        <v>489</v>
      </c>
      <c r="T100" t="s">
        <v>490</v>
      </c>
      <c r="U100" t="s">
        <v>490</v>
      </c>
      <c r="V100" t="s">
        <v>489</v>
      </c>
      <c r="W100" t="s">
        <v>490</v>
      </c>
      <c r="X100" t="s">
        <v>490</v>
      </c>
      <c r="Y100" t="s">
        <v>489</v>
      </c>
      <c r="Z100" t="s">
        <v>490</v>
      </c>
      <c r="AA100" t="s">
        <v>490</v>
      </c>
      <c r="AB100" t="s">
        <v>489</v>
      </c>
      <c r="AC100" t="s">
        <v>490</v>
      </c>
      <c r="AD100" t="s">
        <v>490</v>
      </c>
      <c r="AE100" t="s">
        <v>489</v>
      </c>
    </row>
    <row r="101" spans="1:31">
      <c r="A101" t="s">
        <v>972</v>
      </c>
      <c r="B101" t="s">
        <v>490</v>
      </c>
      <c r="C101" t="s">
        <v>490</v>
      </c>
      <c r="D101" t="s">
        <v>489</v>
      </c>
      <c r="E101" t="s">
        <v>489</v>
      </c>
      <c r="F101" t="s">
        <v>490</v>
      </c>
      <c r="G101" t="s">
        <v>490</v>
      </c>
      <c r="H101" t="s">
        <v>490</v>
      </c>
      <c r="I101" t="s">
        <v>490</v>
      </c>
      <c r="J101" t="s">
        <v>489</v>
      </c>
      <c r="K101" t="s">
        <v>489</v>
      </c>
      <c r="L101" t="s">
        <v>490</v>
      </c>
      <c r="M101" t="s">
        <v>490</v>
      </c>
      <c r="N101" t="s">
        <v>490</v>
      </c>
      <c r="O101" t="s">
        <v>490</v>
      </c>
      <c r="P101" t="s">
        <v>489</v>
      </c>
      <c r="Q101" t="s">
        <v>489</v>
      </c>
      <c r="R101" t="s">
        <v>490</v>
      </c>
      <c r="S101" t="s">
        <v>490</v>
      </c>
      <c r="T101" t="s">
        <v>490</v>
      </c>
      <c r="U101" t="s">
        <v>490</v>
      </c>
      <c r="V101" t="s">
        <v>489</v>
      </c>
      <c r="W101" t="s">
        <v>490</v>
      </c>
      <c r="X101" t="s">
        <v>490</v>
      </c>
      <c r="Y101" t="s">
        <v>489</v>
      </c>
      <c r="Z101" t="s">
        <v>490</v>
      </c>
      <c r="AA101" t="s">
        <v>490</v>
      </c>
      <c r="AB101" t="s">
        <v>489</v>
      </c>
      <c r="AC101" t="s">
        <v>490</v>
      </c>
      <c r="AD101" t="s">
        <v>489</v>
      </c>
      <c r="AE101" t="s">
        <v>490</v>
      </c>
    </row>
    <row r="102" spans="1:31">
      <c r="A102" t="s">
        <v>972</v>
      </c>
      <c r="B102" t="s">
        <v>490</v>
      </c>
      <c r="C102" t="s">
        <v>490</v>
      </c>
      <c r="D102" t="s">
        <v>489</v>
      </c>
      <c r="E102" t="s">
        <v>489</v>
      </c>
      <c r="F102" t="s">
        <v>490</v>
      </c>
      <c r="G102" t="s">
        <v>490</v>
      </c>
      <c r="H102" t="s">
        <v>490</v>
      </c>
      <c r="I102" t="s">
        <v>490</v>
      </c>
      <c r="J102" t="s">
        <v>489</v>
      </c>
      <c r="K102" t="s">
        <v>489</v>
      </c>
      <c r="L102" t="s">
        <v>490</v>
      </c>
      <c r="M102" t="s">
        <v>490</v>
      </c>
      <c r="N102" t="s">
        <v>490</v>
      </c>
      <c r="O102" t="s">
        <v>490</v>
      </c>
      <c r="P102" t="s">
        <v>489</v>
      </c>
      <c r="Q102" t="s">
        <v>490</v>
      </c>
      <c r="R102" t="s">
        <v>490</v>
      </c>
      <c r="S102" t="s">
        <v>489</v>
      </c>
      <c r="T102" t="s">
        <v>490</v>
      </c>
      <c r="U102" t="s">
        <v>490</v>
      </c>
      <c r="V102" t="s">
        <v>489</v>
      </c>
      <c r="W102" t="s">
        <v>490</v>
      </c>
      <c r="X102" t="s">
        <v>490</v>
      </c>
      <c r="Y102" t="s">
        <v>489</v>
      </c>
      <c r="Z102" t="s">
        <v>490</v>
      </c>
      <c r="AA102" t="s">
        <v>490</v>
      </c>
      <c r="AB102" t="s">
        <v>489</v>
      </c>
      <c r="AC102" t="s">
        <v>490</v>
      </c>
      <c r="AD102" t="s">
        <v>489</v>
      </c>
      <c r="AE102" t="s">
        <v>490</v>
      </c>
    </row>
    <row r="103" spans="1:31">
      <c r="A103" t="s">
        <v>974</v>
      </c>
      <c r="B103" t="s">
        <v>490</v>
      </c>
      <c r="C103" t="s">
        <v>490</v>
      </c>
      <c r="D103" t="s">
        <v>489</v>
      </c>
      <c r="E103" t="s">
        <v>490</v>
      </c>
      <c r="F103" t="s">
        <v>490</v>
      </c>
      <c r="G103" t="s">
        <v>489</v>
      </c>
      <c r="H103" t="s">
        <v>490</v>
      </c>
      <c r="I103" t="s">
        <v>490</v>
      </c>
      <c r="J103" t="s">
        <v>489</v>
      </c>
      <c r="K103" t="s">
        <v>489</v>
      </c>
      <c r="L103" t="s">
        <v>490</v>
      </c>
      <c r="M103" t="s">
        <v>490</v>
      </c>
      <c r="N103" t="s">
        <v>489</v>
      </c>
      <c r="O103" t="s">
        <v>490</v>
      </c>
      <c r="P103" t="s">
        <v>490</v>
      </c>
      <c r="Q103" t="s">
        <v>489</v>
      </c>
      <c r="R103" t="s">
        <v>490</v>
      </c>
      <c r="S103" t="s">
        <v>490</v>
      </c>
      <c r="T103" t="s">
        <v>490</v>
      </c>
      <c r="U103" t="s">
        <v>490</v>
      </c>
      <c r="V103" t="s">
        <v>489</v>
      </c>
      <c r="W103" t="s">
        <v>489</v>
      </c>
      <c r="X103" t="s">
        <v>490</v>
      </c>
      <c r="Y103" t="s">
        <v>490</v>
      </c>
      <c r="Z103" t="s">
        <v>489</v>
      </c>
      <c r="AA103" t="s">
        <v>490</v>
      </c>
      <c r="AB103" t="s">
        <v>490</v>
      </c>
      <c r="AC103" t="s">
        <v>489</v>
      </c>
      <c r="AD103" t="s">
        <v>490</v>
      </c>
      <c r="AE103" t="s">
        <v>490</v>
      </c>
    </row>
    <row r="104" spans="1:31">
      <c r="A104" t="s">
        <v>954</v>
      </c>
      <c r="B104" t="s">
        <v>490</v>
      </c>
      <c r="C104" t="s">
        <v>490</v>
      </c>
      <c r="D104" t="s">
        <v>489</v>
      </c>
      <c r="E104" t="s">
        <v>489</v>
      </c>
      <c r="F104" t="s">
        <v>490</v>
      </c>
      <c r="G104" t="s">
        <v>490</v>
      </c>
      <c r="H104" t="s">
        <v>490</v>
      </c>
      <c r="I104" t="s">
        <v>490</v>
      </c>
      <c r="J104" t="s">
        <v>489</v>
      </c>
      <c r="K104" t="s">
        <v>490</v>
      </c>
      <c r="L104" t="s">
        <v>490</v>
      </c>
      <c r="M104" t="s">
        <v>489</v>
      </c>
      <c r="N104" t="s">
        <v>489</v>
      </c>
      <c r="O104" t="s">
        <v>490</v>
      </c>
      <c r="P104" t="s">
        <v>490</v>
      </c>
      <c r="Q104" t="s">
        <v>489</v>
      </c>
      <c r="R104" t="s">
        <v>490</v>
      </c>
      <c r="S104" t="s">
        <v>490</v>
      </c>
      <c r="T104" t="s">
        <v>490</v>
      </c>
      <c r="U104" t="s">
        <v>490</v>
      </c>
      <c r="V104" t="s">
        <v>489</v>
      </c>
      <c r="W104" t="s">
        <v>490</v>
      </c>
      <c r="X104" t="s">
        <v>490</v>
      </c>
      <c r="Y104" t="s">
        <v>489</v>
      </c>
      <c r="Z104" t="s">
        <v>489</v>
      </c>
      <c r="AA104" t="s">
        <v>490</v>
      </c>
      <c r="AB104" t="s">
        <v>490</v>
      </c>
      <c r="AC104" t="s">
        <v>489</v>
      </c>
      <c r="AD104" t="s">
        <v>490</v>
      </c>
      <c r="AE104" t="s">
        <v>490</v>
      </c>
    </row>
    <row r="105" spans="1:31">
      <c r="A105" t="s">
        <v>974</v>
      </c>
      <c r="B105" t="s">
        <v>490</v>
      </c>
      <c r="C105" t="s">
        <v>490</v>
      </c>
      <c r="D105" t="s">
        <v>489</v>
      </c>
      <c r="E105" t="s">
        <v>489</v>
      </c>
      <c r="F105" t="s">
        <v>490</v>
      </c>
      <c r="G105" t="s">
        <v>490</v>
      </c>
      <c r="H105" t="s">
        <v>490</v>
      </c>
      <c r="I105" t="s">
        <v>490</v>
      </c>
      <c r="J105" t="s">
        <v>489</v>
      </c>
      <c r="K105" t="s">
        <v>489</v>
      </c>
      <c r="L105" t="s">
        <v>490</v>
      </c>
      <c r="M105" t="s">
        <v>490</v>
      </c>
      <c r="N105" t="s">
        <v>490</v>
      </c>
      <c r="O105" t="s">
        <v>490</v>
      </c>
      <c r="P105" t="s">
        <v>489</v>
      </c>
      <c r="Q105" t="s">
        <v>489</v>
      </c>
      <c r="R105" t="s">
        <v>490</v>
      </c>
      <c r="S105" t="s">
        <v>490</v>
      </c>
      <c r="T105" t="s">
        <v>490</v>
      </c>
      <c r="U105" t="s">
        <v>490</v>
      </c>
      <c r="V105" t="s">
        <v>489</v>
      </c>
      <c r="W105" t="s">
        <v>490</v>
      </c>
      <c r="X105" t="s">
        <v>490</v>
      </c>
      <c r="Y105" t="s">
        <v>489</v>
      </c>
      <c r="Z105" t="s">
        <v>489</v>
      </c>
      <c r="AA105" t="s">
        <v>490</v>
      </c>
      <c r="AB105" t="s">
        <v>490</v>
      </c>
      <c r="AC105" t="s">
        <v>489</v>
      </c>
      <c r="AD105" t="s">
        <v>490</v>
      </c>
      <c r="AE105" t="s">
        <v>490</v>
      </c>
    </row>
    <row r="106" spans="1:31">
      <c r="A106" t="s">
        <v>973</v>
      </c>
      <c r="B106" t="s">
        <v>490</v>
      </c>
      <c r="C106" t="s">
        <v>489</v>
      </c>
      <c r="D106" t="s">
        <v>490</v>
      </c>
      <c r="E106" t="s">
        <v>490</v>
      </c>
      <c r="F106" t="s">
        <v>489</v>
      </c>
      <c r="G106" t="s">
        <v>490</v>
      </c>
      <c r="H106" t="s">
        <v>490</v>
      </c>
      <c r="I106" t="s">
        <v>490</v>
      </c>
      <c r="J106" t="s">
        <v>489</v>
      </c>
      <c r="K106" t="s">
        <v>490</v>
      </c>
      <c r="L106" t="s">
        <v>490</v>
      </c>
      <c r="M106" t="s">
        <v>489</v>
      </c>
      <c r="N106" t="s">
        <v>490</v>
      </c>
      <c r="O106" t="s">
        <v>489</v>
      </c>
      <c r="P106" t="s">
        <v>490</v>
      </c>
      <c r="Q106" t="s">
        <v>490</v>
      </c>
      <c r="R106" t="s">
        <v>489</v>
      </c>
      <c r="S106" t="s">
        <v>490</v>
      </c>
      <c r="T106" t="s">
        <v>490</v>
      </c>
      <c r="U106" t="s">
        <v>489</v>
      </c>
      <c r="V106" t="s">
        <v>490</v>
      </c>
      <c r="W106" t="s">
        <v>490</v>
      </c>
      <c r="X106" t="s">
        <v>489</v>
      </c>
      <c r="Y106" t="s">
        <v>490</v>
      </c>
      <c r="Z106" t="s">
        <v>490</v>
      </c>
      <c r="AA106" t="s">
        <v>490</v>
      </c>
      <c r="AB106" t="s">
        <v>489</v>
      </c>
      <c r="AC106" t="s">
        <v>489</v>
      </c>
      <c r="AD106" t="s">
        <v>490</v>
      </c>
      <c r="AE106" t="s">
        <v>490</v>
      </c>
    </row>
    <row r="107" spans="1:31">
      <c r="A107" t="s">
        <v>974</v>
      </c>
      <c r="B107" t="s">
        <v>490</v>
      </c>
      <c r="C107" t="s">
        <v>490</v>
      </c>
      <c r="D107" t="s">
        <v>489</v>
      </c>
      <c r="E107" t="s">
        <v>490</v>
      </c>
      <c r="F107" t="s">
        <v>490</v>
      </c>
      <c r="G107" t="s">
        <v>489</v>
      </c>
      <c r="H107" t="s">
        <v>490</v>
      </c>
      <c r="I107" t="s">
        <v>489</v>
      </c>
      <c r="J107" t="s">
        <v>490</v>
      </c>
      <c r="K107" t="s">
        <v>489</v>
      </c>
      <c r="L107" t="s">
        <v>489</v>
      </c>
      <c r="M107" t="s">
        <v>490</v>
      </c>
      <c r="N107" t="s">
        <v>490</v>
      </c>
      <c r="O107" t="s">
        <v>490</v>
      </c>
      <c r="P107" t="s">
        <v>489</v>
      </c>
      <c r="Q107" t="s">
        <v>490</v>
      </c>
      <c r="R107" t="s">
        <v>490</v>
      </c>
      <c r="S107" t="s">
        <v>489</v>
      </c>
      <c r="T107" t="s">
        <v>490</v>
      </c>
      <c r="U107" t="s">
        <v>490</v>
      </c>
      <c r="V107" t="s">
        <v>489</v>
      </c>
      <c r="W107" t="s">
        <v>489</v>
      </c>
      <c r="X107" t="s">
        <v>490</v>
      </c>
      <c r="Y107" t="s">
        <v>490</v>
      </c>
      <c r="Z107" t="s">
        <v>490</v>
      </c>
      <c r="AA107" t="s">
        <v>490</v>
      </c>
      <c r="AB107" t="s">
        <v>489</v>
      </c>
      <c r="AC107" t="s">
        <v>489</v>
      </c>
      <c r="AD107" t="s">
        <v>490</v>
      </c>
      <c r="AE107" t="s">
        <v>490</v>
      </c>
    </row>
    <row r="108" spans="1:31">
      <c r="A108" t="s">
        <v>972</v>
      </c>
      <c r="B108" t="s">
        <v>490</v>
      </c>
      <c r="C108" t="s">
        <v>490</v>
      </c>
      <c r="D108" t="s">
        <v>489</v>
      </c>
      <c r="E108" t="s">
        <v>490</v>
      </c>
      <c r="F108" t="s">
        <v>490</v>
      </c>
      <c r="G108" t="s">
        <v>489</v>
      </c>
      <c r="H108" t="s">
        <v>490</v>
      </c>
      <c r="I108" t="s">
        <v>490</v>
      </c>
      <c r="J108" t="s">
        <v>489</v>
      </c>
      <c r="K108" t="s">
        <v>490</v>
      </c>
      <c r="L108" t="s">
        <v>490</v>
      </c>
      <c r="M108" t="s">
        <v>489</v>
      </c>
      <c r="N108" t="s">
        <v>489</v>
      </c>
      <c r="O108" t="s">
        <v>490</v>
      </c>
      <c r="P108" t="s">
        <v>490</v>
      </c>
      <c r="Q108" t="s">
        <v>489</v>
      </c>
      <c r="R108" t="s">
        <v>490</v>
      </c>
      <c r="S108" t="s">
        <v>490</v>
      </c>
      <c r="T108" t="s">
        <v>490</v>
      </c>
      <c r="U108" t="s">
        <v>490</v>
      </c>
      <c r="V108" t="s">
        <v>489</v>
      </c>
      <c r="W108" t="s">
        <v>490</v>
      </c>
      <c r="X108" t="s">
        <v>490</v>
      </c>
      <c r="Y108" t="s">
        <v>489</v>
      </c>
      <c r="Z108" t="s">
        <v>490</v>
      </c>
      <c r="AA108" t="s">
        <v>490</v>
      </c>
      <c r="AB108" t="s">
        <v>489</v>
      </c>
      <c r="AC108" t="s">
        <v>489</v>
      </c>
      <c r="AD108" t="s">
        <v>490</v>
      </c>
      <c r="AE108" t="s">
        <v>490</v>
      </c>
    </row>
    <row r="109" spans="1:31">
      <c r="A109" t="s">
        <v>972</v>
      </c>
      <c r="B109" t="s">
        <v>490</v>
      </c>
      <c r="C109" t="s">
        <v>490</v>
      </c>
      <c r="D109" t="s">
        <v>489</v>
      </c>
      <c r="E109" t="s">
        <v>489</v>
      </c>
      <c r="F109" t="s">
        <v>490</v>
      </c>
      <c r="G109" t="s">
        <v>490</v>
      </c>
      <c r="H109" t="s">
        <v>490</v>
      </c>
      <c r="I109" t="s">
        <v>490</v>
      </c>
      <c r="J109" t="s">
        <v>489</v>
      </c>
      <c r="K109" t="s">
        <v>490</v>
      </c>
      <c r="L109" t="s">
        <v>490</v>
      </c>
      <c r="M109" t="s">
        <v>489</v>
      </c>
      <c r="N109" t="s">
        <v>489</v>
      </c>
      <c r="O109" t="s">
        <v>490</v>
      </c>
      <c r="P109" t="s">
        <v>490</v>
      </c>
      <c r="Q109" t="s">
        <v>489</v>
      </c>
      <c r="R109" t="s">
        <v>490</v>
      </c>
      <c r="S109" t="s">
        <v>490</v>
      </c>
      <c r="T109" t="s">
        <v>490</v>
      </c>
      <c r="U109" t="s">
        <v>490</v>
      </c>
      <c r="V109" t="s">
        <v>489</v>
      </c>
      <c r="W109" t="s">
        <v>490</v>
      </c>
      <c r="X109" t="s">
        <v>490</v>
      </c>
      <c r="Y109" t="s">
        <v>489</v>
      </c>
      <c r="Z109" t="s">
        <v>490</v>
      </c>
      <c r="AA109" t="s">
        <v>490</v>
      </c>
      <c r="AB109" t="s">
        <v>489</v>
      </c>
      <c r="AC109" t="s">
        <v>489</v>
      </c>
      <c r="AD109" t="s">
        <v>490</v>
      </c>
      <c r="AE109" t="s">
        <v>490</v>
      </c>
    </row>
    <row r="110" spans="1:31">
      <c r="A110" t="s">
        <v>972</v>
      </c>
      <c r="B110" t="s">
        <v>490</v>
      </c>
      <c r="C110" t="s">
        <v>490</v>
      </c>
      <c r="D110" t="s">
        <v>489</v>
      </c>
      <c r="E110" t="s">
        <v>489</v>
      </c>
      <c r="F110" t="s">
        <v>490</v>
      </c>
      <c r="G110" t="s">
        <v>490</v>
      </c>
      <c r="H110" t="s">
        <v>490</v>
      </c>
      <c r="I110" t="s">
        <v>490</v>
      </c>
      <c r="J110" t="s">
        <v>489</v>
      </c>
      <c r="K110" t="s">
        <v>490</v>
      </c>
      <c r="L110" t="s">
        <v>490</v>
      </c>
      <c r="M110" t="s">
        <v>489</v>
      </c>
      <c r="N110" t="s">
        <v>489</v>
      </c>
      <c r="O110" t="s">
        <v>490</v>
      </c>
      <c r="P110" t="s">
        <v>490</v>
      </c>
      <c r="Q110" t="s">
        <v>489</v>
      </c>
      <c r="R110" t="s">
        <v>490</v>
      </c>
      <c r="S110" t="s">
        <v>490</v>
      </c>
      <c r="T110" t="s">
        <v>490</v>
      </c>
      <c r="U110" t="s">
        <v>490</v>
      </c>
      <c r="V110" t="s">
        <v>489</v>
      </c>
      <c r="W110" t="s">
        <v>490</v>
      </c>
      <c r="X110" t="s">
        <v>490</v>
      </c>
      <c r="Y110" t="s">
        <v>489</v>
      </c>
      <c r="Z110" t="s">
        <v>490</v>
      </c>
      <c r="AA110" t="s">
        <v>490</v>
      </c>
      <c r="AB110" t="s">
        <v>489</v>
      </c>
      <c r="AC110" t="s">
        <v>489</v>
      </c>
      <c r="AD110" t="s">
        <v>490</v>
      </c>
      <c r="AE110" t="s">
        <v>490</v>
      </c>
    </row>
    <row r="111" spans="1:31">
      <c r="A111" t="s">
        <v>972</v>
      </c>
      <c r="B111" t="s">
        <v>490</v>
      </c>
      <c r="C111" t="s">
        <v>490</v>
      </c>
      <c r="D111" t="s">
        <v>489</v>
      </c>
      <c r="E111" t="s">
        <v>490</v>
      </c>
      <c r="F111" t="s">
        <v>490</v>
      </c>
      <c r="G111" t="s">
        <v>489</v>
      </c>
      <c r="H111" t="s">
        <v>490</v>
      </c>
      <c r="I111" t="s">
        <v>490</v>
      </c>
      <c r="J111" t="s">
        <v>489</v>
      </c>
      <c r="K111" t="s">
        <v>489</v>
      </c>
      <c r="L111" t="s">
        <v>490</v>
      </c>
      <c r="M111" t="s">
        <v>490</v>
      </c>
      <c r="N111" t="s">
        <v>490</v>
      </c>
      <c r="O111" t="s">
        <v>490</v>
      </c>
      <c r="P111" t="s">
        <v>489</v>
      </c>
      <c r="Q111" t="s">
        <v>490</v>
      </c>
      <c r="R111" t="s">
        <v>490</v>
      </c>
      <c r="S111" t="s">
        <v>489</v>
      </c>
      <c r="T111" t="s">
        <v>490</v>
      </c>
      <c r="U111" t="s">
        <v>490</v>
      </c>
      <c r="V111" t="s">
        <v>489</v>
      </c>
      <c r="W111" t="s">
        <v>490</v>
      </c>
      <c r="X111" t="s">
        <v>490</v>
      </c>
      <c r="Y111" t="s">
        <v>489</v>
      </c>
      <c r="Z111" t="s">
        <v>490</v>
      </c>
      <c r="AA111" t="s">
        <v>490</v>
      </c>
      <c r="AB111" t="s">
        <v>489</v>
      </c>
      <c r="AC111" t="s">
        <v>489</v>
      </c>
      <c r="AD111" t="s">
        <v>490</v>
      </c>
      <c r="AE111" t="s">
        <v>490</v>
      </c>
    </row>
    <row r="112" spans="1:31">
      <c r="A112" t="s">
        <v>972</v>
      </c>
      <c r="B112" t="s">
        <v>490</v>
      </c>
      <c r="C112" t="s">
        <v>490</v>
      </c>
      <c r="D112" t="s">
        <v>489</v>
      </c>
      <c r="E112" t="s">
        <v>489</v>
      </c>
      <c r="F112" t="s">
        <v>490</v>
      </c>
      <c r="G112" t="s">
        <v>490</v>
      </c>
      <c r="H112" t="s">
        <v>490</v>
      </c>
      <c r="I112" t="s">
        <v>490</v>
      </c>
      <c r="J112" t="s">
        <v>489</v>
      </c>
      <c r="K112" t="s">
        <v>490</v>
      </c>
      <c r="L112" t="s">
        <v>490</v>
      </c>
      <c r="M112" t="s">
        <v>489</v>
      </c>
      <c r="N112" t="s">
        <v>490</v>
      </c>
      <c r="O112" t="s">
        <v>490</v>
      </c>
      <c r="P112" t="s">
        <v>489</v>
      </c>
      <c r="Q112" t="s">
        <v>490</v>
      </c>
      <c r="R112" t="s">
        <v>490</v>
      </c>
      <c r="S112" t="s">
        <v>489</v>
      </c>
      <c r="T112" t="s">
        <v>490</v>
      </c>
      <c r="U112" t="s">
        <v>490</v>
      </c>
      <c r="V112" t="s">
        <v>489</v>
      </c>
      <c r="W112" t="s">
        <v>490</v>
      </c>
      <c r="X112" t="s">
        <v>490</v>
      </c>
      <c r="Y112" t="s">
        <v>489</v>
      </c>
      <c r="Z112" t="s">
        <v>490</v>
      </c>
      <c r="AA112" t="s">
        <v>490</v>
      </c>
      <c r="AB112" t="s">
        <v>489</v>
      </c>
      <c r="AC112" t="s">
        <v>489</v>
      </c>
      <c r="AD112" t="s">
        <v>490</v>
      </c>
      <c r="AE112" t="s">
        <v>490</v>
      </c>
    </row>
    <row r="113" spans="1:31">
      <c r="A113" t="s">
        <v>972</v>
      </c>
      <c r="B113" t="s">
        <v>490</v>
      </c>
      <c r="C113" t="s">
        <v>490</v>
      </c>
      <c r="D113" t="s">
        <v>489</v>
      </c>
      <c r="E113" t="s">
        <v>489</v>
      </c>
      <c r="F113" t="s">
        <v>490</v>
      </c>
      <c r="G113" t="s">
        <v>490</v>
      </c>
      <c r="H113" t="s">
        <v>490</v>
      </c>
      <c r="I113" t="s">
        <v>490</v>
      </c>
      <c r="J113" t="s">
        <v>489</v>
      </c>
      <c r="K113" t="s">
        <v>489</v>
      </c>
      <c r="L113" t="s">
        <v>490</v>
      </c>
      <c r="M113" t="s">
        <v>490</v>
      </c>
      <c r="N113" t="s">
        <v>490</v>
      </c>
      <c r="O113" t="s">
        <v>490</v>
      </c>
      <c r="P113" t="s">
        <v>489</v>
      </c>
      <c r="Q113" t="s">
        <v>489</v>
      </c>
      <c r="R113" t="s">
        <v>490</v>
      </c>
      <c r="S113" t="s">
        <v>490</v>
      </c>
      <c r="T113" t="s">
        <v>489</v>
      </c>
      <c r="U113" t="s">
        <v>490</v>
      </c>
      <c r="V113" t="s">
        <v>490</v>
      </c>
      <c r="W113" t="s">
        <v>490</v>
      </c>
      <c r="X113" t="s">
        <v>490</v>
      </c>
      <c r="Y113" t="s">
        <v>489</v>
      </c>
      <c r="Z113" t="s">
        <v>490</v>
      </c>
      <c r="AA113" t="s">
        <v>490</v>
      </c>
      <c r="AB113" t="s">
        <v>489</v>
      </c>
      <c r="AC113" t="s">
        <v>490</v>
      </c>
      <c r="AD113" t="s">
        <v>490</v>
      </c>
      <c r="AE113" t="s">
        <v>489</v>
      </c>
    </row>
    <row r="114" spans="1:31">
      <c r="A114" t="s">
        <v>972</v>
      </c>
      <c r="B114" t="s">
        <v>490</v>
      </c>
      <c r="C114" t="s">
        <v>490</v>
      </c>
      <c r="D114" t="s">
        <v>489</v>
      </c>
      <c r="E114" t="s">
        <v>489</v>
      </c>
      <c r="F114" t="s">
        <v>490</v>
      </c>
      <c r="G114" t="s">
        <v>490</v>
      </c>
      <c r="H114" t="s">
        <v>490</v>
      </c>
      <c r="I114" t="s">
        <v>490</v>
      </c>
      <c r="J114" t="s">
        <v>489</v>
      </c>
      <c r="K114" t="s">
        <v>489</v>
      </c>
      <c r="L114" t="s">
        <v>490</v>
      </c>
      <c r="M114" t="s">
        <v>490</v>
      </c>
      <c r="N114" t="s">
        <v>490</v>
      </c>
      <c r="O114" t="s">
        <v>490</v>
      </c>
      <c r="P114" t="s">
        <v>489</v>
      </c>
      <c r="Q114" t="s">
        <v>489</v>
      </c>
      <c r="R114" t="s">
        <v>490</v>
      </c>
      <c r="S114" t="s">
        <v>490</v>
      </c>
      <c r="T114" t="s">
        <v>490</v>
      </c>
      <c r="U114" t="s">
        <v>490</v>
      </c>
      <c r="V114" t="s">
        <v>489</v>
      </c>
      <c r="W114" t="s">
        <v>490</v>
      </c>
      <c r="X114" t="s">
        <v>490</v>
      </c>
      <c r="Y114" t="s">
        <v>489</v>
      </c>
      <c r="Z114" t="s">
        <v>490</v>
      </c>
      <c r="AA114" t="s">
        <v>490</v>
      </c>
      <c r="AB114" t="s">
        <v>489</v>
      </c>
      <c r="AC114" t="s">
        <v>490</v>
      </c>
      <c r="AD114" t="s">
        <v>490</v>
      </c>
      <c r="AE114" t="s">
        <v>489</v>
      </c>
    </row>
    <row r="115" spans="1:31">
      <c r="A115" t="s">
        <v>972</v>
      </c>
      <c r="B115" t="s">
        <v>490</v>
      </c>
      <c r="C115" t="s">
        <v>490</v>
      </c>
      <c r="D115" t="s">
        <v>489</v>
      </c>
      <c r="E115" t="s">
        <v>489</v>
      </c>
      <c r="F115" t="s">
        <v>490</v>
      </c>
      <c r="G115" t="s">
        <v>490</v>
      </c>
      <c r="H115" t="s">
        <v>490</v>
      </c>
      <c r="I115" t="s">
        <v>490</v>
      </c>
      <c r="J115" t="s">
        <v>489</v>
      </c>
      <c r="K115" t="s">
        <v>490</v>
      </c>
      <c r="L115" t="s">
        <v>490</v>
      </c>
      <c r="M115" t="s">
        <v>489</v>
      </c>
      <c r="N115" t="s">
        <v>490</v>
      </c>
      <c r="O115" t="s">
        <v>490</v>
      </c>
      <c r="P115" t="s">
        <v>489</v>
      </c>
      <c r="Q115" t="s">
        <v>489</v>
      </c>
      <c r="R115" t="s">
        <v>490</v>
      </c>
      <c r="S115" t="s">
        <v>490</v>
      </c>
      <c r="T115" t="s">
        <v>490</v>
      </c>
      <c r="U115" t="s">
        <v>490</v>
      </c>
      <c r="V115" t="s">
        <v>489</v>
      </c>
      <c r="W115" t="s">
        <v>490</v>
      </c>
      <c r="X115" t="s">
        <v>490</v>
      </c>
      <c r="Y115" t="s">
        <v>489</v>
      </c>
      <c r="Z115" t="s">
        <v>490</v>
      </c>
      <c r="AA115" t="s">
        <v>490</v>
      </c>
      <c r="AB115" t="s">
        <v>489</v>
      </c>
      <c r="AC115" t="s">
        <v>490</v>
      </c>
      <c r="AD115" t="s">
        <v>490</v>
      </c>
      <c r="AE115" t="s">
        <v>489</v>
      </c>
    </row>
    <row r="116" spans="1:31">
      <c r="A116" t="s">
        <v>972</v>
      </c>
      <c r="B116" t="s">
        <v>490</v>
      </c>
      <c r="C116" t="s">
        <v>490</v>
      </c>
      <c r="D116" t="s">
        <v>489</v>
      </c>
      <c r="E116" t="s">
        <v>489</v>
      </c>
      <c r="F116" t="s">
        <v>490</v>
      </c>
      <c r="G116" t="s">
        <v>490</v>
      </c>
      <c r="H116" t="s">
        <v>490</v>
      </c>
      <c r="I116" t="s">
        <v>490</v>
      </c>
      <c r="J116" t="s">
        <v>489</v>
      </c>
      <c r="K116" t="s">
        <v>490</v>
      </c>
      <c r="L116" t="s">
        <v>490</v>
      </c>
      <c r="M116" t="s">
        <v>489</v>
      </c>
      <c r="N116" t="s">
        <v>490</v>
      </c>
      <c r="O116" t="s">
        <v>490</v>
      </c>
      <c r="P116" t="s">
        <v>489</v>
      </c>
      <c r="Q116" t="s">
        <v>489</v>
      </c>
      <c r="R116" t="s">
        <v>490</v>
      </c>
      <c r="S116" t="s">
        <v>490</v>
      </c>
      <c r="T116" t="s">
        <v>490</v>
      </c>
      <c r="U116" t="s">
        <v>490</v>
      </c>
      <c r="V116" t="s">
        <v>489</v>
      </c>
      <c r="W116" t="s">
        <v>490</v>
      </c>
      <c r="X116" t="s">
        <v>490</v>
      </c>
      <c r="Y116" t="s">
        <v>489</v>
      </c>
      <c r="Z116" t="s">
        <v>490</v>
      </c>
      <c r="AA116" t="s">
        <v>490</v>
      </c>
      <c r="AB116" t="s">
        <v>489</v>
      </c>
      <c r="AC116" t="s">
        <v>490</v>
      </c>
      <c r="AD116" t="s">
        <v>490</v>
      </c>
      <c r="AE116" t="s">
        <v>489</v>
      </c>
    </row>
    <row r="117" spans="1:31">
      <c r="A117" t="s">
        <v>972</v>
      </c>
      <c r="B117" t="s">
        <v>490</v>
      </c>
      <c r="C117" t="s">
        <v>490</v>
      </c>
      <c r="D117" t="s">
        <v>489</v>
      </c>
      <c r="E117" t="s">
        <v>489</v>
      </c>
      <c r="F117" t="s">
        <v>490</v>
      </c>
      <c r="G117" t="s">
        <v>490</v>
      </c>
      <c r="H117" t="s">
        <v>490</v>
      </c>
      <c r="I117" t="s">
        <v>490</v>
      </c>
      <c r="J117" t="s">
        <v>489</v>
      </c>
      <c r="K117" t="s">
        <v>490</v>
      </c>
      <c r="L117" t="s">
        <v>490</v>
      </c>
      <c r="M117" t="s">
        <v>489</v>
      </c>
      <c r="N117" t="s">
        <v>489</v>
      </c>
      <c r="O117" t="s">
        <v>490</v>
      </c>
      <c r="P117" t="s">
        <v>490</v>
      </c>
      <c r="Q117" t="s">
        <v>490</v>
      </c>
      <c r="R117" t="s">
        <v>490</v>
      </c>
      <c r="S117" t="s">
        <v>489</v>
      </c>
      <c r="T117" t="s">
        <v>490</v>
      </c>
      <c r="U117" t="s">
        <v>490</v>
      </c>
      <c r="V117" t="s">
        <v>489</v>
      </c>
      <c r="W117" t="s">
        <v>490</v>
      </c>
      <c r="X117" t="s">
        <v>490</v>
      </c>
      <c r="Y117" t="s">
        <v>489</v>
      </c>
      <c r="Z117" t="s">
        <v>490</v>
      </c>
      <c r="AA117" t="s">
        <v>490</v>
      </c>
      <c r="AB117" t="s">
        <v>489</v>
      </c>
      <c r="AC117" t="s">
        <v>490</v>
      </c>
      <c r="AD117" t="s">
        <v>490</v>
      </c>
      <c r="AE117" t="s">
        <v>489</v>
      </c>
    </row>
    <row r="118" spans="1:31">
      <c r="A118" t="s">
        <v>972</v>
      </c>
      <c r="B118" t="s">
        <v>490</v>
      </c>
      <c r="C118" t="s">
        <v>489</v>
      </c>
      <c r="D118" t="s">
        <v>490</v>
      </c>
      <c r="E118" t="s">
        <v>490</v>
      </c>
      <c r="F118" t="s">
        <v>490</v>
      </c>
      <c r="G118" t="s">
        <v>489</v>
      </c>
      <c r="H118" t="s">
        <v>490</v>
      </c>
      <c r="I118" t="s">
        <v>490</v>
      </c>
      <c r="J118" t="s">
        <v>489</v>
      </c>
      <c r="K118" t="s">
        <v>490</v>
      </c>
      <c r="L118" t="s">
        <v>490</v>
      </c>
      <c r="M118" t="s">
        <v>489</v>
      </c>
      <c r="N118" t="s">
        <v>490</v>
      </c>
      <c r="O118" t="s">
        <v>490</v>
      </c>
      <c r="P118" t="s">
        <v>489</v>
      </c>
      <c r="Q118" t="s">
        <v>490</v>
      </c>
      <c r="R118" t="s">
        <v>490</v>
      </c>
      <c r="S118" t="s">
        <v>489</v>
      </c>
      <c r="T118" t="s">
        <v>490</v>
      </c>
      <c r="U118" t="s">
        <v>490</v>
      </c>
      <c r="V118" t="s">
        <v>489</v>
      </c>
      <c r="W118" t="s">
        <v>490</v>
      </c>
      <c r="X118" t="s">
        <v>490</v>
      </c>
      <c r="Y118" t="s">
        <v>489</v>
      </c>
      <c r="Z118" t="s">
        <v>490</v>
      </c>
      <c r="AA118" t="s">
        <v>490</v>
      </c>
      <c r="AB118" t="s">
        <v>489</v>
      </c>
      <c r="AC118" t="s">
        <v>490</v>
      </c>
      <c r="AD118" t="s">
        <v>490</v>
      </c>
      <c r="AE118" t="s">
        <v>489</v>
      </c>
    </row>
    <row r="119" spans="1:31">
      <c r="A119" t="s">
        <v>972</v>
      </c>
      <c r="B119" t="s">
        <v>490</v>
      </c>
      <c r="C119" t="s">
        <v>490</v>
      </c>
      <c r="D119" t="s">
        <v>489</v>
      </c>
      <c r="E119" t="s">
        <v>489</v>
      </c>
      <c r="F119" t="s">
        <v>490</v>
      </c>
      <c r="G119" t="s">
        <v>490</v>
      </c>
      <c r="H119" t="s">
        <v>490</v>
      </c>
      <c r="I119" t="s">
        <v>490</v>
      </c>
      <c r="J119" t="s">
        <v>489</v>
      </c>
      <c r="K119" t="s">
        <v>490</v>
      </c>
      <c r="L119" t="s">
        <v>490</v>
      </c>
      <c r="M119" t="s">
        <v>489</v>
      </c>
      <c r="N119" t="s">
        <v>490</v>
      </c>
      <c r="O119" t="s">
        <v>490</v>
      </c>
      <c r="P119" t="s">
        <v>489</v>
      </c>
      <c r="Q119" t="s">
        <v>490</v>
      </c>
      <c r="R119" t="s">
        <v>490</v>
      </c>
      <c r="S119" t="s">
        <v>489</v>
      </c>
      <c r="T119" t="s">
        <v>490</v>
      </c>
      <c r="U119" t="s">
        <v>490</v>
      </c>
      <c r="V119" t="s">
        <v>489</v>
      </c>
      <c r="W119" t="s">
        <v>490</v>
      </c>
      <c r="X119" t="s">
        <v>490</v>
      </c>
      <c r="Y119" t="s">
        <v>489</v>
      </c>
      <c r="Z119" t="s">
        <v>490</v>
      </c>
      <c r="AA119" t="s">
        <v>490</v>
      </c>
      <c r="AB119" t="s">
        <v>489</v>
      </c>
      <c r="AC119" t="s">
        <v>490</v>
      </c>
      <c r="AD119" t="s">
        <v>490</v>
      </c>
      <c r="AE119" t="s">
        <v>489</v>
      </c>
    </row>
    <row r="121" spans="1:31">
      <c r="B121" t="s">
        <v>664</v>
      </c>
      <c r="C121" t="s">
        <v>665</v>
      </c>
      <c r="D121" t="s">
        <v>666</v>
      </c>
      <c r="E121" t="s">
        <v>667</v>
      </c>
      <c r="F121" t="s">
        <v>665</v>
      </c>
      <c r="G121" t="s">
        <v>666</v>
      </c>
      <c r="H121" t="s">
        <v>668</v>
      </c>
      <c r="I121" t="s">
        <v>665</v>
      </c>
      <c r="J121" t="s">
        <v>666</v>
      </c>
      <c r="K121" t="s">
        <v>669</v>
      </c>
      <c r="L121" t="s">
        <v>665</v>
      </c>
      <c r="M121" t="s">
        <v>666</v>
      </c>
      <c r="N121" t="s">
        <v>670</v>
      </c>
      <c r="O121" t="s">
        <v>665</v>
      </c>
      <c r="P121" t="s">
        <v>666</v>
      </c>
      <c r="Q121" t="s">
        <v>671</v>
      </c>
      <c r="R121" t="s">
        <v>665</v>
      </c>
      <c r="S121" t="s">
        <v>666</v>
      </c>
      <c r="T121" t="s">
        <v>672</v>
      </c>
      <c r="U121" t="s">
        <v>665</v>
      </c>
      <c r="V121" t="s">
        <v>666</v>
      </c>
      <c r="W121" t="s">
        <v>673</v>
      </c>
      <c r="X121" t="s">
        <v>665</v>
      </c>
      <c r="Y121" t="s">
        <v>666</v>
      </c>
      <c r="Z121" t="s">
        <v>674</v>
      </c>
      <c r="AA121" t="s">
        <v>665</v>
      </c>
      <c r="AB121" t="s">
        <v>666</v>
      </c>
      <c r="AC121" t="s">
        <v>675</v>
      </c>
      <c r="AD121" t="s">
        <v>665</v>
      </c>
      <c r="AE121" t="s">
        <v>666</v>
      </c>
    </row>
    <row r="122" spans="1:31">
      <c r="A122" t="s">
        <v>489</v>
      </c>
      <c r="B122" s="25">
        <f>95/139</f>
        <v>0.68345323741007191</v>
      </c>
      <c r="C122" s="25">
        <f>24/139</f>
        <v>0.17266187050359713</v>
      </c>
      <c r="D122" s="38" t="s">
        <v>1293</v>
      </c>
      <c r="E122" s="25">
        <f>107/139</f>
        <v>0.76978417266187049</v>
      </c>
      <c r="F122" s="25">
        <f>24/139</f>
        <v>0.17266187050359713</v>
      </c>
      <c r="G122" s="38" t="s">
        <v>1293</v>
      </c>
      <c r="H122" s="38" t="s">
        <v>1293</v>
      </c>
      <c r="I122" s="25">
        <f>16/139</f>
        <v>0.11510791366906475</v>
      </c>
      <c r="J122" s="38" t="s">
        <v>1293</v>
      </c>
      <c r="K122" s="25">
        <f>67/139</f>
        <v>0.48201438848920863</v>
      </c>
      <c r="L122" s="25">
        <f>34/139</f>
        <v>0.2446043165467626</v>
      </c>
      <c r="M122" s="38" t="s">
        <v>1293</v>
      </c>
      <c r="N122" s="25">
        <f>67/139</f>
        <v>0.48201438848920863</v>
      </c>
      <c r="O122" s="25">
        <f>12/139</f>
        <v>8.6330935251798566E-2</v>
      </c>
      <c r="P122" s="38" t="s">
        <v>1293</v>
      </c>
      <c r="Q122" s="25">
        <f>87/139</f>
        <v>0.62589928057553956</v>
      </c>
      <c r="R122" s="25">
        <f>15/139</f>
        <v>0.1079136690647482</v>
      </c>
      <c r="S122" s="38" t="s">
        <v>1293</v>
      </c>
      <c r="T122" s="25">
        <f>33/139</f>
        <v>0.23741007194244604</v>
      </c>
      <c r="U122" s="25">
        <f>17/139</f>
        <v>0.1223021582733813</v>
      </c>
      <c r="V122" s="38" t="s">
        <v>1293</v>
      </c>
      <c r="W122" s="25">
        <f>65/139</f>
        <v>0.46762589928057552</v>
      </c>
      <c r="X122" s="25">
        <f>21/139</f>
        <v>0.15107913669064749</v>
      </c>
      <c r="Y122" s="38" t="s">
        <v>1293</v>
      </c>
      <c r="Z122" s="25">
        <f>52/139</f>
        <v>0.37410071942446044</v>
      </c>
      <c r="AA122" s="25">
        <f>23/139</f>
        <v>0.16546762589928057</v>
      </c>
      <c r="AB122" s="38" t="s">
        <v>1293</v>
      </c>
      <c r="AC122" s="25">
        <f>76/139</f>
        <v>0.5467625899280576</v>
      </c>
      <c r="AD122" s="25">
        <f>31/139</f>
        <v>0.22302158273381295</v>
      </c>
      <c r="AE122" s="38" t="s">
        <v>1293</v>
      </c>
    </row>
    <row r="125" spans="1:31">
      <c r="A125" t="s">
        <v>1216</v>
      </c>
    </row>
    <row r="126" spans="1:31">
      <c r="B126" t="s">
        <v>1394</v>
      </c>
      <c r="C126" t="s">
        <v>1395</v>
      </c>
    </row>
    <row r="127" spans="1:31">
      <c r="A127" t="s">
        <v>1296</v>
      </c>
      <c r="B127" s="15">
        <v>12</v>
      </c>
      <c r="C127" s="65" t="s">
        <v>988</v>
      </c>
    </row>
    <row r="128" spans="1:31">
      <c r="A128" t="s">
        <v>1300</v>
      </c>
      <c r="B128" s="15">
        <v>12</v>
      </c>
      <c r="C128" s="15">
        <v>24</v>
      </c>
    </row>
    <row r="129" spans="1:3">
      <c r="A129" t="s">
        <v>1302</v>
      </c>
      <c r="B129" s="15">
        <v>17</v>
      </c>
      <c r="C129" s="15">
        <v>37</v>
      </c>
    </row>
    <row r="130" spans="1:3">
      <c r="A130" t="s">
        <v>1301</v>
      </c>
      <c r="B130" s="15">
        <v>15</v>
      </c>
      <c r="C130" s="15">
        <v>47</v>
      </c>
    </row>
    <row r="131" spans="1:3">
      <c r="A131" t="s">
        <v>1297</v>
      </c>
      <c r="B131" s="15">
        <v>24</v>
      </c>
      <c r="C131" s="15">
        <v>48</v>
      </c>
    </row>
    <row r="132" spans="1:3">
      <c r="A132" t="s">
        <v>1298</v>
      </c>
      <c r="B132" s="15">
        <v>9</v>
      </c>
      <c r="C132" s="15">
        <v>48</v>
      </c>
    </row>
    <row r="133" spans="1:3">
      <c r="A133" t="s">
        <v>1303</v>
      </c>
      <c r="B133" s="15">
        <v>22</v>
      </c>
      <c r="C133" s="15">
        <v>55</v>
      </c>
    </row>
    <row r="134" spans="1:3">
      <c r="A134" t="s">
        <v>1299</v>
      </c>
      <c r="B134" s="15">
        <v>11</v>
      </c>
      <c r="C134" s="15">
        <v>63</v>
      </c>
    </row>
    <row r="135" spans="1:3">
      <c r="A135" t="s">
        <v>1294</v>
      </c>
      <c r="B135" s="15">
        <v>17</v>
      </c>
      <c r="C135" s="15">
        <v>68</v>
      </c>
    </row>
    <row r="136" spans="1:3">
      <c r="A136" t="s">
        <v>1295</v>
      </c>
      <c r="B136" s="15">
        <v>17</v>
      </c>
      <c r="C136" s="15">
        <v>77</v>
      </c>
    </row>
  </sheetData>
  <sortState ref="A6:AE119">
    <sortCondition ref="B6:B119"/>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42</vt:i4>
      </vt:variant>
    </vt:vector>
  </HeadingPairs>
  <TitlesOfParts>
    <vt:vector size="42" baseType="lpstr">
      <vt:lpstr>Core Survey 2</vt:lpstr>
      <vt:lpstr>Q1-8</vt:lpstr>
      <vt:lpstr>Q9</vt:lpstr>
      <vt:lpstr>Q10</vt:lpstr>
      <vt:lpstr>Q11&amp;Q12</vt:lpstr>
      <vt:lpstr>Q13</vt:lpstr>
      <vt:lpstr>Q14</vt:lpstr>
      <vt:lpstr>Q15</vt:lpstr>
      <vt:lpstr>Q15a</vt:lpstr>
      <vt:lpstr>Q15b</vt:lpstr>
      <vt:lpstr>Q15c</vt:lpstr>
      <vt:lpstr>Q15d</vt:lpstr>
      <vt:lpstr>Q15e</vt:lpstr>
      <vt:lpstr>Q15f</vt:lpstr>
      <vt:lpstr>Q15g</vt:lpstr>
      <vt:lpstr>Q15h</vt:lpstr>
      <vt:lpstr>Q15totaal</vt:lpstr>
      <vt:lpstr>Q16</vt:lpstr>
      <vt:lpstr>Q17</vt:lpstr>
      <vt:lpstr>Q18</vt:lpstr>
      <vt:lpstr>Q18A</vt:lpstr>
      <vt:lpstr>18B</vt:lpstr>
      <vt:lpstr>18C</vt:lpstr>
      <vt:lpstr>18D</vt:lpstr>
      <vt:lpstr>18E</vt:lpstr>
      <vt:lpstr>18F</vt:lpstr>
      <vt:lpstr>18G</vt:lpstr>
      <vt:lpstr>18H</vt:lpstr>
      <vt:lpstr>Q19</vt:lpstr>
      <vt:lpstr>Q20</vt:lpstr>
      <vt:lpstr>Q21</vt:lpstr>
      <vt:lpstr>Q22</vt:lpstr>
      <vt:lpstr>Q23</vt:lpstr>
      <vt:lpstr>Q24</vt:lpstr>
      <vt:lpstr>Q25</vt:lpstr>
      <vt:lpstr>Q26</vt:lpstr>
      <vt:lpstr>Q27&amp;Q28</vt:lpstr>
      <vt:lpstr>Q27a</vt:lpstr>
      <vt:lpstr>Q29&amp;Q30</vt:lpstr>
      <vt:lpstr>Q31</vt:lpstr>
      <vt:lpstr>Q32</vt:lpstr>
      <vt:lpstr>Q33</vt:lpstr>
    </vt:vector>
  </TitlesOfParts>
  <Company>Exported Data, created by SPSS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Marco</cp:lastModifiedBy>
  <dcterms:created xsi:type="dcterms:W3CDTF">2007-02-23T14:58:14Z</dcterms:created>
  <dcterms:modified xsi:type="dcterms:W3CDTF">2014-07-20T15:05:03Z</dcterms:modified>
</cp:coreProperties>
</file>